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8800" windowHeight="12000"/>
  </bookViews>
  <sheets>
    <sheet name="brief _ For the MoF " sheetId="6" r:id="rId1"/>
    <sheet name="ანტიკრიზისული გეგმა" sheetId="5" r:id="rId2"/>
    <sheet name="Policy Dep" sheetId="4" r:id="rId3"/>
    <sheet name="Emergency " sheetId="3" r:id="rId4"/>
    <sheet name="NCDC " sheetId="1" r:id="rId5"/>
    <sheet name="სხვა " sheetId="2" r:id="rId6"/>
  </sheets>
  <externalReferences>
    <externalReference r:id="rId7"/>
    <externalReference r:id="rId8"/>
  </externalReferences>
  <definedNames>
    <definedName name="_Toc48595108" localSheetId="1">'ანტიკრიზისული გეგმა'!$A$12</definedName>
    <definedName name="_Toc48952336" localSheetId="1">'ანტიკრიზისული გეგმა'!$B$29</definedName>
    <definedName name="AL">[1]!Activity_List[Activity ID]</definedName>
    <definedName name="Country">'[2]Country Summary'!$B$1</definedName>
    <definedName name="_xlnm.Print_Area" localSheetId="4">'NCDC '!$A$1:$D$67</definedName>
    <definedName name="_xlnm.Print_Titles" localSheetId="4">'NCDC '!$2:$2</definedName>
    <definedName name="Task1Budget">#REF!</definedName>
  </definedNames>
  <calcPr calcId="162913"/>
</workbook>
</file>

<file path=xl/calcChain.xml><?xml version="1.0" encoding="utf-8"?>
<calcChain xmlns="http://schemas.openxmlformats.org/spreadsheetml/2006/main">
  <c r="D47" i="6" l="1"/>
  <c r="E47" i="6"/>
  <c r="D46" i="6"/>
  <c r="E50" i="6"/>
  <c r="E49" i="6"/>
  <c r="E48" i="6"/>
  <c r="E46" i="6"/>
  <c r="E22" i="6"/>
  <c r="E43" i="6"/>
  <c r="E42" i="6" s="1"/>
  <c r="E32" i="6"/>
  <c r="E37" i="6"/>
  <c r="E36" i="6" s="1"/>
  <c r="E38" i="6"/>
  <c r="E5" i="6"/>
  <c r="D2" i="6"/>
  <c r="E4" i="6"/>
  <c r="E3" i="6"/>
  <c r="E28" i="6"/>
  <c r="D26" i="6"/>
  <c r="D24" i="6"/>
  <c r="E2" i="6" l="1"/>
  <c r="D5" i="2"/>
  <c r="D4" i="2"/>
  <c r="D3" i="2"/>
  <c r="D2" i="2"/>
  <c r="E40" i="6"/>
  <c r="B25" i="4"/>
  <c r="C5" i="3" l="1"/>
  <c r="D17" i="3" s="1"/>
  <c r="D5" i="3"/>
  <c r="D14" i="3" s="1"/>
  <c r="D13" i="3"/>
  <c r="G13" i="3"/>
  <c r="I13" i="3"/>
  <c r="D19" i="3"/>
  <c r="G19" i="3" s="1"/>
  <c r="I19" i="3" s="1"/>
  <c r="D22" i="3"/>
  <c r="G22" i="3"/>
  <c r="I22" i="3"/>
  <c r="G14" i="3" l="1"/>
  <c r="I14" i="3" s="1"/>
  <c r="D16" i="3"/>
  <c r="G16" i="3" s="1"/>
  <c r="I16" i="3" s="1"/>
  <c r="D15" i="3"/>
  <c r="G15" i="3" s="1"/>
  <c r="I15" i="3" s="1"/>
  <c r="D18" i="3"/>
  <c r="G18" i="3" s="1"/>
  <c r="I18" i="3" s="1"/>
  <c r="G17" i="3"/>
  <c r="I17" i="3" s="1"/>
  <c r="D20" i="3"/>
  <c r="G20" i="3" s="1"/>
  <c r="I20" i="3" s="1"/>
  <c r="I11" i="3" s="1"/>
  <c r="D21" i="3"/>
  <c r="G21" i="3" s="1"/>
  <c r="I21" i="3" s="1"/>
  <c r="H30" i="1"/>
  <c r="H18" i="1"/>
  <c r="F29" i="1" l="1"/>
  <c r="F28" i="1"/>
  <c r="F27" i="1"/>
  <c r="F26" i="1"/>
  <c r="F25" i="1"/>
  <c r="F24" i="1"/>
  <c r="F23" i="1"/>
  <c r="F22" i="1"/>
  <c r="F21" i="1"/>
  <c r="F20" i="1"/>
  <c r="F19" i="1"/>
  <c r="F18" i="1"/>
  <c r="F8" i="1" l="1"/>
  <c r="F11" i="1"/>
  <c r="F10" i="1"/>
  <c r="F9" i="1"/>
  <c r="F30" i="1"/>
  <c r="F7" i="1"/>
  <c r="F6" i="1"/>
  <c r="F16" i="1"/>
  <c r="F31" i="1" l="1"/>
  <c r="B61" i="1"/>
  <c r="B30" i="1" l="1"/>
  <c r="B33" i="1" l="1"/>
  <c r="B34" i="1"/>
  <c r="B49" i="1"/>
  <c r="B50" i="1"/>
  <c r="B51" i="1"/>
  <c r="B52" i="1"/>
  <c r="B53" i="1"/>
  <c r="B54" i="1"/>
  <c r="B55" i="1"/>
  <c r="B56" i="1"/>
  <c r="B57" i="1"/>
  <c r="B63" i="1"/>
  <c r="F14" i="1"/>
  <c r="D47" i="1" l="1"/>
  <c r="B47" i="1" s="1"/>
  <c r="D46" i="1"/>
  <c r="B46" i="1" s="1"/>
  <c r="D45" i="1"/>
  <c r="B45" i="1" s="1"/>
  <c r="D44" i="1"/>
  <c r="B44" i="1" s="1"/>
  <c r="D43" i="1"/>
  <c r="B43" i="1" s="1"/>
  <c r="D42" i="1"/>
  <c r="B42" i="1" s="1"/>
  <c r="D41" i="1"/>
  <c r="B41" i="1" s="1"/>
  <c r="D40" i="1"/>
  <c r="B40" i="1" s="1"/>
  <c r="D39" i="1"/>
  <c r="B39" i="1" s="1"/>
  <c r="D38" i="1"/>
  <c r="B38" i="1" s="1"/>
  <c r="D37" i="1"/>
  <c r="B37" i="1" s="1"/>
  <c r="D36" i="1"/>
  <c r="B36" i="1" s="1"/>
  <c r="D35" i="1"/>
  <c r="B35" i="1" s="1"/>
  <c r="D31" i="1"/>
  <c r="D29" i="1"/>
  <c r="B29" i="1" s="1"/>
  <c r="D28" i="1"/>
  <c r="B28" i="1" s="1"/>
  <c r="D27" i="1"/>
  <c r="B27" i="1" s="1"/>
  <c r="D26" i="1"/>
  <c r="B26" i="1" s="1"/>
  <c r="D25" i="1"/>
  <c r="B25" i="1" s="1"/>
  <c r="D24" i="1"/>
  <c r="B24" i="1" s="1"/>
  <c r="D23" i="1"/>
  <c r="B23" i="1" s="1"/>
  <c r="D22" i="1"/>
  <c r="B22" i="1" s="1"/>
  <c r="D21" i="1"/>
  <c r="B21" i="1" s="1"/>
  <c r="D20" i="1"/>
  <c r="B20" i="1" s="1"/>
  <c r="D19" i="1"/>
  <c r="B19" i="1" s="1"/>
  <c r="D18" i="1"/>
  <c r="B18" i="1" s="1"/>
  <c r="D15" i="1"/>
  <c r="B15" i="1" s="1"/>
  <c r="D11" i="1"/>
  <c r="B11" i="1" s="1"/>
  <c r="D10" i="1"/>
  <c r="B10" i="1" s="1"/>
  <c r="D9" i="1"/>
  <c r="B9" i="1" s="1"/>
  <c r="D8" i="1"/>
  <c r="B8" i="1" s="1"/>
  <c r="D7" i="1"/>
  <c r="B7" i="1" s="1"/>
  <c r="B31" i="1" l="1"/>
  <c r="H31" i="1"/>
  <c r="E16" i="1"/>
  <c r="D16" i="1" s="1"/>
  <c r="B16" i="1" s="1"/>
  <c r="E14" i="1"/>
  <c r="D14" i="1" s="1"/>
  <c r="B14" i="1" s="1"/>
  <c r="E12" i="1"/>
  <c r="D12" i="1" s="1"/>
  <c r="E6" i="1"/>
  <c r="D6" i="1" s="1"/>
  <c r="B6" i="1" l="1"/>
  <c r="H6" i="1"/>
  <c r="B12" i="1"/>
  <c r="H12" i="1"/>
  <c r="H2" i="1" l="1"/>
  <c r="B67" i="1"/>
</calcChain>
</file>

<file path=xl/sharedStrings.xml><?xml version="1.0" encoding="utf-8"?>
<sst xmlns="http://schemas.openxmlformats.org/spreadsheetml/2006/main" count="475" uniqueCount="382">
  <si>
    <t>შეფასებული ფინანსური საჭიროება</t>
  </si>
  <si>
    <t>განმარტება (რაოდენობები და პროგნოზები)</t>
  </si>
  <si>
    <r>
      <t>1.</t>
    </r>
    <r>
      <rPr>
        <b/>
        <sz val="7"/>
        <color rgb="FF212121"/>
        <rFont val="Times New Roman"/>
        <family val="1"/>
      </rPr>
      <t>    </t>
    </r>
    <r>
      <rPr>
        <b/>
        <sz val="11"/>
        <color rgb="FF212121"/>
        <rFont val="Sylfaen"/>
        <family val="1"/>
      </rPr>
      <t>ტესტირება</t>
    </r>
  </si>
  <si>
    <t>1.a. ტესტები</t>
  </si>
  <si>
    <t>1.b. სახარჯი მასალები</t>
  </si>
  <si>
    <r>
      <t>2.</t>
    </r>
    <r>
      <rPr>
        <b/>
        <sz val="7"/>
        <color rgb="FF212121"/>
        <rFont val="Times New Roman"/>
        <family val="1"/>
      </rPr>
      <t>    </t>
    </r>
    <r>
      <rPr>
        <b/>
        <sz val="11"/>
        <color rgb="FF212121"/>
        <rFont val="Sylfaen"/>
        <family val="1"/>
      </rPr>
      <t>პირადი დაცვის საშუალებები</t>
    </r>
  </si>
  <si>
    <t>ტესტირების სერვისი</t>
  </si>
  <si>
    <t>ლოჯისტიკა და მომარაგების ცივი ჯაჭვი</t>
  </si>
  <si>
    <t>TaqPath™ COVID-19 CE-IVD RT-PCR Kit, 1000 tests</t>
  </si>
  <si>
    <t>Thermo</t>
  </si>
  <si>
    <t>MagMAX™ Viral/Pathogen II (MVP II) Nucleic Acid Isolation Kit, 2,000 preps</t>
  </si>
  <si>
    <t xml:space="preserve">KingFisher Deepwell 96 Plate, V-bottom, polypropylene, case of 50 plates </t>
  </si>
  <si>
    <t>KingFisher 96 KF microplate (200μL) case of 48 plates</t>
  </si>
  <si>
    <t>KingFisher 96 tip comb for DW magnets, 10 x 10 pcs/box</t>
  </si>
  <si>
    <t>Thermo Scientific™ Matrix™ 850-1250ul Pipette Filter Tips (960 per case)</t>
  </si>
  <si>
    <t>Sansure Biotech INC kit 1*48 test</t>
  </si>
  <si>
    <t>ერთეულის ფასი</t>
  </si>
  <si>
    <t>extraction kits, consumables</t>
  </si>
  <si>
    <t>QIAamp Viral RNA Mini Kit 1*250</t>
  </si>
  <si>
    <t>QIAamp Mini Collection Tubes</t>
  </si>
  <si>
    <t xml:space="preserve">VIRAL RNA / DNA KIT, 100 preps, E3592-02, Roboklon </t>
  </si>
  <si>
    <t>KIT COBAS 6800/8800 SARS-COV-2 192T</t>
  </si>
  <si>
    <t>KIT COBAS 6800/8800 SARS-COV-2 RMC</t>
  </si>
  <si>
    <t>KIT COBAS 6800/8800 BUFF NEG RMC IVD</t>
  </si>
  <si>
    <t>Solid Waste Bag With Insert Set of 20</t>
  </si>
  <si>
    <t>cobas omni  Processing Plate</t>
  </si>
  <si>
    <t>KIT COBAS 6800/8800 SPEC DIL REAGENT IVD</t>
  </si>
  <si>
    <t>KIT COBAS 6800/8800 LYS REAGENT IVD</t>
  </si>
  <si>
    <t>cobas omni  Amplification Plate</t>
  </si>
  <si>
    <t>KIT COBAS 6800/8800 MGP IVD</t>
  </si>
  <si>
    <t>KIT COBAS 6800/8800 WASH IVD</t>
  </si>
  <si>
    <t>KIT COBAS PCR MEDIA SECONDARY TUBE</t>
  </si>
  <si>
    <t>cobas omni  Pipette Tips</t>
  </si>
  <si>
    <t>Roche</t>
  </si>
  <si>
    <t>Molecular grade Ethanol, 500 ml bottle</t>
  </si>
  <si>
    <t>RT-PCR Grade Water</t>
  </si>
  <si>
    <t>96 ფოსოიანი პჯრ პლანშეტი</t>
  </si>
  <si>
    <t>96 ფოსოიანი პჯრ პლანშეტის გადასაკრავი ფირი</t>
  </si>
  <si>
    <t>96 ფოსოიანი პლანშეტის გადასაკრავი არაოპტიკური ფირი, ალუმინის</t>
  </si>
  <si>
    <t>96 ფოსოიანი პლანშეტის გადასაკრავი არაოპტიკური ფირი, გამჭვირვალე</t>
  </si>
  <si>
    <t>პიპეტორის წვერი, ფილტრიანი 10 მკლ 1*96</t>
  </si>
  <si>
    <t>პიპეტორის წვერი, ფილტრიანი 2-20 მკლ 1*96</t>
  </si>
  <si>
    <t>პიპეტორის წვერი Rainin LTS პიპეტისთვის, ფილტრიანი 10/20 მკლ1*96</t>
  </si>
  <si>
    <t>პიპეტორის წვერი, ფილტრიანი 20-200 მკლ1*96</t>
  </si>
  <si>
    <t>პიპეტორის წვერი, ფილტრიანი 2-200 მკლ1*96</t>
  </si>
  <si>
    <t>პიპეტორის წვერი, ფილტრიანი 100-1000 მკლ1*96</t>
  </si>
  <si>
    <t>პიპეტორის წვერი Rainin LTS პიპეტისთვის, ფილტრიანი 100-1000 მკლ1*96</t>
  </si>
  <si>
    <t>ანტიგენის სწრაფი მარტივი ტესტები</t>
  </si>
  <si>
    <t>Cepheid tests</t>
  </si>
  <si>
    <t>აპლიკატორი</t>
  </si>
  <si>
    <t>კრიოსინჯარა</t>
  </si>
  <si>
    <t>კატეგორიები</t>
  </si>
  <si>
    <t>პაპრი</t>
  </si>
  <si>
    <t>სათვალე დახული</t>
  </si>
  <si>
    <t>კომბინიზონი</t>
  </si>
  <si>
    <t xml:space="preserve">ჩაჩი </t>
  </si>
  <si>
    <t>ბახილი</t>
  </si>
  <si>
    <t>ხალათი</t>
  </si>
  <si>
    <t>ნიღაბი სამშრიანი</t>
  </si>
  <si>
    <t>ხელთათმანი</t>
  </si>
  <si>
    <r>
      <t>3.</t>
    </r>
    <r>
      <rPr>
        <b/>
        <sz val="7"/>
        <color rgb="FF212121"/>
        <rFont val="Times New Roman"/>
        <family val="1"/>
      </rPr>
      <t>      </t>
    </r>
    <r>
      <rPr>
        <b/>
        <sz val="11"/>
        <color rgb="FF212121"/>
        <rFont val="Sylfaen"/>
        <family val="1"/>
      </rPr>
      <t>სამედიცინო აღჭურვილობა</t>
    </r>
  </si>
  <si>
    <r>
      <t>4.</t>
    </r>
    <r>
      <rPr>
        <b/>
        <sz val="7"/>
        <color rgb="FF212121"/>
        <rFont val="Times New Roman"/>
        <family val="1"/>
      </rPr>
      <t>      </t>
    </r>
    <r>
      <rPr>
        <b/>
        <sz val="11"/>
        <color rgb="FF212121"/>
        <rFont val="Sylfaen"/>
        <family val="1"/>
      </rPr>
      <t>სერვისების მიწოდება</t>
    </r>
  </si>
  <si>
    <r>
      <t>5.</t>
    </r>
    <r>
      <rPr>
        <b/>
        <sz val="7"/>
        <color rgb="FF212121"/>
        <rFont val="Times New Roman"/>
        <family val="1"/>
      </rPr>
      <t>      </t>
    </r>
    <r>
      <rPr>
        <b/>
        <sz val="11"/>
        <color rgb="FF212121"/>
        <rFont val="Sylfaen"/>
        <family val="1"/>
      </rPr>
      <t>კოვიდ ვაქცინა</t>
    </r>
  </si>
  <si>
    <r>
      <t>6.</t>
    </r>
    <r>
      <rPr>
        <b/>
        <sz val="7"/>
        <color rgb="FF212121"/>
        <rFont val="Times New Roman"/>
        <family val="1"/>
      </rPr>
      <t>      </t>
    </r>
    <r>
      <rPr>
        <b/>
        <sz val="11"/>
        <color rgb="FF212121"/>
        <rFont val="Sylfaen"/>
        <family val="1"/>
      </rPr>
      <t>ტრეინინგები და ტექნიკური დახმარება</t>
    </r>
  </si>
  <si>
    <t>ვაქცინის შესყიდვა (დოზა/ცალი)</t>
  </si>
  <si>
    <t>ჯამური რაოდენობა
(2021 წ. ბოლომდე)</t>
  </si>
  <si>
    <t>მ.შ. რაოდენობა (2021 წ. მარტის ბოლომდე)</t>
  </si>
  <si>
    <t>რესპირატორი FFP2/N95</t>
  </si>
  <si>
    <t>თერმოციკლერი, რეალურ დროში პჯრ სისტემა
CFX96 Touch Real-Time PCR Detection System სენსორული ეკრანით და 96 ფოსოიანი ბლოკით და განახლებული პროგრამული უზრუნველყოფით.</t>
  </si>
  <si>
    <t>კოვიდ ეპიდემიოლოგიისა და ლაბორატორიული დიაგნოსტიკის ტრეინინგები</t>
  </si>
  <si>
    <t>ჯამი</t>
  </si>
  <si>
    <t>ბრიგადის თითო წევრზე 2 კვირაში 1 ცალი</t>
  </si>
  <si>
    <t>ცალი</t>
  </si>
  <si>
    <t>სახის დამცავი ფარი</t>
  </si>
  <si>
    <r>
      <t xml:space="preserve">ხალათის შესაბამისად </t>
    </r>
    <r>
      <rPr>
        <b/>
        <sz val="10"/>
        <color theme="1"/>
        <rFont val="Arial"/>
        <family val="2"/>
      </rPr>
      <t>+ სოფლის ექიმებზე და ექთნებზე დღეში 1 ერთეული</t>
    </r>
  </si>
  <si>
    <t>ერთჯერადი ქუდი</t>
  </si>
  <si>
    <t>წყვილი</t>
  </si>
  <si>
    <t>ხალათის 
ბახილი</t>
  </si>
  <si>
    <r>
      <t xml:space="preserve">გამოძახებაზე 1 ცალი </t>
    </r>
    <r>
      <rPr>
        <b/>
        <sz val="10"/>
        <color theme="1"/>
        <rFont val="Arial"/>
        <family val="2"/>
      </rPr>
      <t>+ სოფლის ექიმებზე და ექთნებზე დღეში 1 ერთეული</t>
    </r>
  </si>
  <si>
    <t xml:space="preserve">ერთჯერადი ხალათი </t>
  </si>
  <si>
    <r>
      <t xml:space="preserve">ერთჯერადი ნიღაბის შესაბამისად  + </t>
    </r>
    <r>
      <rPr>
        <b/>
        <sz val="10"/>
        <color theme="1"/>
        <rFont val="Arial"/>
        <family val="2"/>
      </rPr>
      <t>სოფლის ექიმებზე და ექთნებზე დღეში 5 პაციენტის მიღება</t>
    </r>
  </si>
  <si>
    <t>ხელთათმანი ერთჯერადი</t>
  </si>
  <si>
    <r>
      <t xml:space="preserve">ბრიგადის თითოეულ წევრზე გამოძახებისას 1 ცალი + </t>
    </r>
    <r>
      <rPr>
        <b/>
        <sz val="10"/>
        <color theme="1"/>
        <rFont val="Arial"/>
        <family val="2"/>
      </rPr>
      <t>სოფლის ექიმებზე და ექთნებზე დღეში 5 პაციენტის მიღება</t>
    </r>
  </si>
  <si>
    <t>სამშრიანი ნიღაბი</t>
  </si>
  <si>
    <t>კომბინიზონის რაოდენობის შესაბამისად</t>
  </si>
  <si>
    <t>კომბინიზონის ბახილი</t>
  </si>
  <si>
    <t>ნიღაბი N95 (რესპირატორი)</t>
  </si>
  <si>
    <t>მწვავე რესპირატორული გამოძახების 40%-ის შემთხვევაში</t>
  </si>
  <si>
    <r>
      <t xml:space="preserve">ბრიგადის თითოეული წევრის მოხმარება 24 საათში - 100მლ + </t>
    </r>
    <r>
      <rPr>
        <b/>
        <sz val="10"/>
        <color theme="1"/>
        <rFont val="Arial"/>
        <family val="2"/>
      </rPr>
      <t>სოფლის ექიმებზე და ექთნებზე 1 ლიტრი თვეში</t>
    </r>
  </si>
  <si>
    <t>ლიტრი</t>
  </si>
  <si>
    <t>ანტისეპტიკი ხელის</t>
  </si>
  <si>
    <t>მოსალოდნელი ხარჯვის დაშვებების ახსნა</t>
  </si>
  <si>
    <t>სავარაუდო ბიუჯეტი
(ლარი)</t>
  </si>
  <si>
    <t>ერთეულის სავარაუდო ფასი
(ლარი)</t>
  </si>
  <si>
    <t>საჭირო რაოდენობა ნაშთებისა და მოლოდინების გათვალისწინებით</t>
  </si>
  <si>
    <r>
      <rPr>
        <b/>
        <sz val="10"/>
        <color rgb="FFFF0000"/>
        <rFont val="Arial"/>
        <family val="2"/>
      </rPr>
      <t>*</t>
    </r>
    <r>
      <rPr>
        <b/>
        <sz val="10"/>
        <rFont val="Arial"/>
        <family val="2"/>
      </rPr>
      <t>მსოფლიო ბანკისგან მოლოდინი
(რაოდენობა)</t>
    </r>
  </si>
  <si>
    <t>არსებული ნაშთი
(რაოდენობა)</t>
  </si>
  <si>
    <t>მოსალოდნელი ხარჯვა
(მომავალი 16 თვე)</t>
  </si>
  <si>
    <t>ზომის ერთეული</t>
  </si>
  <si>
    <t>პირადი დაცვის საშუალებების დასახელება</t>
  </si>
  <si>
    <t>სულ ლარი</t>
  </si>
  <si>
    <t>*თუ მსოფლიო ბანკის დაფინანსებით შესაძენი მასალების შეძენა ვერ მოხერხდება, მაშინ საჭირო რაოდენობა გაიზრდება შესაბამისი რაოდენობით</t>
  </si>
  <si>
    <t>თვეების რადენობა</t>
  </si>
  <si>
    <t>თბილისი</t>
  </si>
  <si>
    <t>რეგიონები</t>
  </si>
  <si>
    <t>ბრიგადების რაოდენობა</t>
  </si>
  <si>
    <t>მწვავე რესპ.</t>
  </si>
  <si>
    <t>სულ</t>
  </si>
  <si>
    <t>16 თვის მოსალოდნელი გამოძახებების მონაცემები</t>
  </si>
  <si>
    <t>კოვიდ19-ის სახარჯი მასალების სტატისტიკა 2022 წლის თებერვლამდე</t>
  </si>
  <si>
    <t>სსიპ საგანგებო სიტუაციების კოორდინაციისა და გადაუდებელი დახმარების ცენტრი</t>
  </si>
  <si>
    <r>
      <t>6.</t>
    </r>
    <r>
      <rPr>
        <b/>
        <sz val="7"/>
        <color theme="1"/>
        <rFont val="Times New Roman"/>
        <family val="1"/>
      </rPr>
      <t xml:space="preserve">       </t>
    </r>
    <r>
      <rPr>
        <b/>
        <sz val="11"/>
        <color theme="1"/>
        <rFont val="Sylfaen"/>
        <family val="1"/>
      </rPr>
      <t>ტრეინინგები და ტექნიკური დახმარება</t>
    </r>
  </si>
  <si>
    <t xml:space="preserve">ლოჯისტიკა და მომარაგების ცივი ჯაჭვი </t>
  </si>
  <si>
    <t>ვაქცინის შესყიდვა</t>
  </si>
  <si>
    <r>
      <t>5.</t>
    </r>
    <r>
      <rPr>
        <b/>
        <sz val="7"/>
        <color theme="1"/>
        <rFont val="Times New Roman"/>
        <family val="1"/>
      </rPr>
      <t xml:space="preserve">       </t>
    </r>
    <r>
      <rPr>
        <b/>
        <sz val="11"/>
        <color theme="1"/>
        <rFont val="Sylfaen"/>
        <family val="1"/>
      </rPr>
      <t>კოვიდ ვაქცინა</t>
    </r>
  </si>
  <si>
    <t>კოვიდ მედიკამენტები (მ.შ. რემდესივირი)</t>
  </si>
  <si>
    <t xml:space="preserve">სასტუმროებში სამედიცინო პერსონალის მობილიზება </t>
  </si>
  <si>
    <t>ჰოსპიტალური სერვისი</t>
  </si>
  <si>
    <r>
      <t>4.</t>
    </r>
    <r>
      <rPr>
        <sz val="7"/>
        <color theme="1"/>
        <rFont val="Times New Roman"/>
        <family val="1"/>
      </rPr>
      <t xml:space="preserve">       </t>
    </r>
    <r>
      <rPr>
        <sz val="11"/>
        <color theme="1"/>
        <rFont val="Sylfaen"/>
        <family val="1"/>
      </rPr>
      <t>სერვისების მიწოდება</t>
    </r>
  </si>
  <si>
    <t>რეგიონული ჯანდაცვის ცენტრი</t>
  </si>
  <si>
    <t xml:space="preserve">ფსიქიკური ჯანმრთელობის 2 ცენტრი </t>
  </si>
  <si>
    <t>დაავადებათა კონტროლის ცენტრი: (1) დამატებითი ფართების  აღჭურვა (ბათუმი და ქუთაისი) (2) ინფრასტრუქტურა (სამცხე-ჯავახეთის, ფოთის და კახეთის განყოფილება) მე-2 დონის შესაბამისი ლაბორატორიული სივრცის მოწყობისათვის</t>
  </si>
  <si>
    <t>საგანგებო</t>
  </si>
  <si>
    <t>50 პჯდ ცენტრი</t>
  </si>
  <si>
    <t>ტელემედიცინა</t>
  </si>
  <si>
    <t>ჰოსპიტლები</t>
  </si>
  <si>
    <r>
      <t>3.</t>
    </r>
    <r>
      <rPr>
        <b/>
        <sz val="7"/>
        <color theme="1"/>
        <rFont val="Times New Roman"/>
        <family val="1"/>
      </rPr>
      <t xml:space="preserve">       </t>
    </r>
    <r>
      <rPr>
        <b/>
        <sz val="11"/>
        <color theme="1"/>
        <rFont val="Sylfaen"/>
        <family val="1"/>
      </rPr>
      <t>სამედიცინო აღჭურვილობა/რეაბილიტაცია</t>
    </r>
  </si>
  <si>
    <t>სტრატეგიული მარაგი</t>
  </si>
  <si>
    <t>სასტუმროების ხარჯი</t>
  </si>
  <si>
    <t>დაავადებათა კონტროლის ცენტრი</t>
  </si>
  <si>
    <r>
      <t>2.</t>
    </r>
    <r>
      <rPr>
        <b/>
        <sz val="7"/>
        <color theme="1"/>
        <rFont val="Times New Roman"/>
        <family val="1"/>
      </rPr>
      <t xml:space="preserve">     </t>
    </r>
    <r>
      <rPr>
        <b/>
        <sz val="11"/>
        <color theme="1"/>
        <rFont val="Sylfaen"/>
        <family val="1"/>
      </rPr>
      <t>პირადი დაცვის საშუალებები</t>
    </r>
  </si>
  <si>
    <t>1.b. სახარჯი მასალები</t>
  </si>
  <si>
    <t>1.a. ტესტები</t>
  </si>
  <si>
    <r>
      <t>1.</t>
    </r>
    <r>
      <rPr>
        <b/>
        <sz val="7"/>
        <color theme="1"/>
        <rFont val="Times New Roman"/>
        <family val="1"/>
      </rPr>
      <t xml:space="preserve">     </t>
    </r>
    <r>
      <rPr>
        <b/>
        <sz val="11"/>
        <color theme="1"/>
        <rFont val="Sylfaen"/>
        <family val="1"/>
      </rPr>
      <t>ტესტირება</t>
    </r>
  </si>
  <si>
    <t>შეფასებული ფინანსური საჭიროება ლარი</t>
  </si>
  <si>
    <t>2020-2021</t>
  </si>
  <si>
    <t>საერთაშორისო დახმარების წილი კოვიდზე პასუხში</t>
  </si>
  <si>
    <t>საერთაშორისო თანამშრომლობა</t>
  </si>
  <si>
    <t>8.5.</t>
  </si>
  <si>
    <t>სახელმწიფო ბიუჯეტი/ადმინისტრაციული ხარჯი</t>
  </si>
  <si>
    <t>საკოორდინაციო საბჭოს ყოველკვირეული შეხვედრები</t>
  </si>
  <si>
    <t>მულტისექტორული თანამშრომლობა</t>
  </si>
  <si>
    <t>8.4.</t>
  </si>
  <si>
    <t>სახელმწიფო ბიუჯეტი
UNICEF</t>
  </si>
  <si>
    <t>ტელემედიცინის აპარატურა 50 პჯდ ობიექტისთვის</t>
  </si>
  <si>
    <t>საინფორმაციო ტექნოლოგიები და ინოვაციები</t>
  </si>
  <si>
    <t>8.3.</t>
  </si>
  <si>
    <t>სახელმწიფო ბიუჯეტი</t>
  </si>
  <si>
    <t>1500000 დოზა</t>
  </si>
  <si>
    <t xml:space="preserve">COVID-19-ის საწინააღმდეგო ვაქცინა </t>
  </si>
  <si>
    <t>ვ</t>
  </si>
  <si>
    <t>10,000 დოზა</t>
  </si>
  <si>
    <t>პნევმონიის საწინააღდეგო ვაქცინა</t>
  </si>
  <si>
    <t>ე</t>
  </si>
  <si>
    <t>სახელმწიფო ბიუჯეტი/ დონორი ორგანიზაციები</t>
  </si>
  <si>
    <t>235,000 დოზა</t>
  </si>
  <si>
    <t>გრიპის საწინააღმდეგო ვაქცინა</t>
  </si>
  <si>
    <t>დ</t>
  </si>
  <si>
    <t>სახელმწიფო ბიუჯეტი/WB
WHO/EU
WHO/USAID
WHO
Estonia
Bulgaria
Lithuania
GIZ
Unicef
DTRA
UBODC
UNFPA
UNDP
UNHCR
GF</t>
  </si>
  <si>
    <t>მარაგები დკსჯეც და საგანგებო მდგომარეობების მართვის სამსახურისთვის მიმდინარე საჭიროებების დასაფარად. 3 თვის სტარტეგიული მარაგი</t>
  </si>
  <si>
    <t>პირადი დაცვის საშუალებების სტრატეგიული მარაგები</t>
  </si>
  <si>
    <t>გ</t>
  </si>
  <si>
    <t>WHO 
China
Unicef
Global Fund</t>
  </si>
  <si>
    <t>1290000 ტესტი (სულ სულ $23,750,000)</t>
  </si>
  <si>
    <t>პჯრ ტესტირებისთვის ტესტების შესყიდვა</t>
  </si>
  <si>
    <t>ბ</t>
  </si>
  <si>
    <t>WHO
China</t>
  </si>
  <si>
    <t>200 000 (თვეში ხარჯვა 45 000) (სულ $2,400,000)</t>
  </si>
  <si>
    <t>სწრაფი ანტიგენ-ანტისხეული ტესტების მარაგი</t>
  </si>
  <si>
    <t>ა</t>
  </si>
  <si>
    <t>ლოგისტიკა, შესყიდვა და მარაგები</t>
  </si>
  <si>
    <t>8.2.</t>
  </si>
  <si>
    <r>
      <rPr>
        <sz val="10"/>
        <rFont val="Sylfaen"/>
        <family val="1"/>
      </rPr>
      <t xml:space="preserve">WHO/EU/UNICEF, </t>
    </r>
    <r>
      <rPr>
        <sz val="10"/>
        <color rgb="FFFF0000"/>
        <rFont val="Sylfaen"/>
        <family val="1"/>
      </rPr>
      <t xml:space="preserve">
მოსაძიებელია დონორების დახმარება</t>
    </r>
  </si>
  <si>
    <t xml:space="preserve">კვლევა მოსახლეობის სამედიცინო საჭიროებების შესახებ </t>
  </si>
  <si>
    <t>ნამატი სიკვდილიანობის მონიტორინგი</t>
  </si>
  <si>
    <t>აღწერილობითი ანალიზი</t>
  </si>
  <si>
    <t>WHO, CDC</t>
  </si>
  <si>
    <t>პოპულაციის იმუნურობის შეფასება</t>
  </si>
  <si>
    <t>მხარდამჭერი კვლევები</t>
  </si>
  <si>
    <t>8.1.</t>
  </si>
  <si>
    <t xml:space="preserve">8. დამატებითი ღონისძიებები, რომელიც ხელს შეუწყობს ყველა ამოცანის შესრულებას </t>
  </si>
  <si>
    <t>2020 დეკემბერი</t>
  </si>
  <si>
    <t>COVID-რეალობასთან ადაპტირებული, განახლებული კამპანიები ცხოვრების ჯანსაღი წესის მიმართულებით</t>
  </si>
  <si>
    <t>ცხოვრების ჯანსაღი წესის დანერგვაზე მიმართული კამპანიის ადაპტირება COVID-19-ის პანდემიასთან</t>
  </si>
  <si>
    <t>7.4.</t>
  </si>
  <si>
    <t>დაბალი რისკ-ჯგუფებისთვის სპეციფიური კამპანიები იმართება</t>
  </si>
  <si>
    <t>რისკის კომუნიკაციის განსხვავებული მიდგომის შემუშავება დაბალი რისკის მქონე ჯგუფებისთვის</t>
  </si>
  <si>
    <t>7.3.</t>
  </si>
  <si>
    <t>შშმ პირებისთვის ადაპტირებული მეთდოლოგიით COVID-კამპანიის კომპონენტების მიწოდება</t>
  </si>
  <si>
    <t>რისკის კომუნიკაციის სპეციფიკური მიდგომის შემუშავება შშმ პირებისთვის</t>
  </si>
  <si>
    <t>7.2.</t>
  </si>
  <si>
    <t>სახელმწიფო ბიუჯეტი, ჯანმრთელობის ხელშეწყობა
WHO/USAID
WHO
UNFPA</t>
  </si>
  <si>
    <t>მაღალი რისკ-ჯგუფებისა და მოწყვლადი ფენებისთვის (ხანდაზმულები, ქრონიკული დაავადებების მქონენი) სპეციფიური კამპანიები იმართება</t>
  </si>
  <si>
    <t xml:space="preserve">სხვადასხვა რისკ-ჯგუფებთან მიმართებაში, რისკის კომუნიკაციის განსხვავებული სტრატეგიის დანერგვა </t>
  </si>
  <si>
    <t>7.1.</t>
  </si>
  <si>
    <t>ამოცანა 7: ჯანმრთელობის ხელშეწყობა, რისკის კომუნიკაცია და სამოქალაქო ცნობიერების გაძლიერება</t>
  </si>
  <si>
    <t>ჩეხეთის კარიტასი</t>
  </si>
  <si>
    <t>2021 წ</t>
  </si>
  <si>
    <t>რეგულირების სააგენტოს აქვს სამედიცინო პერსონალის რეგისტრი და ახდენს მის განახლებას კვარტალურად</t>
  </si>
  <si>
    <t>სამედიცინო პერსონალის რეგისტრის განვითარება</t>
  </si>
  <si>
    <t>6.2.</t>
  </si>
  <si>
    <t>2020-2021 წწ</t>
  </si>
  <si>
    <t>სოციალური უთანასწორობის მაქსიმალურად აღოფხვდა და ბულინგისა და სტიგმატიზაციის შემცირება</t>
  </si>
  <si>
    <t>სოციალური უთანასწორობის აღმოფხვრის მიმართულებით ტრენინგები</t>
  </si>
  <si>
    <t>ზ</t>
  </si>
  <si>
    <t>2020 სექტემბერი და ოქტომბერი</t>
  </si>
  <si>
    <t>ცნობადობა და მიღებადობა პრევმოკოკის ვაქცინაციისა და COVID-ვაქცინაციისთვის</t>
  </si>
  <si>
    <t xml:space="preserve">იმუნიზაციის პოპულარიზაციაზე მიმართული ტრენინგები საზოგადოებრივი ჯანმრთელობისა და პჯდ სპეციალისტებისათვის. </t>
  </si>
  <si>
    <t>4 000 სამედიცინო პერსონალი მომზადებულია ინფექციის კონტროლის საკითხებში</t>
  </si>
  <si>
    <t>ინფექციის პრევენციის და კონტროლის ტრეინინგი სამედიცინო პერსონალისთვის</t>
  </si>
  <si>
    <t>დამამთავრებელი კურსის სტუდენტების დასაქმება ექთნად</t>
  </si>
  <si>
    <t>საექთნო სამსახურების გაძლიერება</t>
  </si>
  <si>
    <t xml:space="preserve">2 000 პჯდ ექიმი და ექთანი გაივლის, სულ მცირე, 1 ტრენინგს COVID-ის მართვის საკითხებში; ამბულატორიულად ნაცხის აღება შესაძლებელია 25 პჯდ დაწესებულებაში (ე.წ. ცხელების-ონლაინ კლინიკები) </t>
  </si>
  <si>
    <t>პირველადი ჯანდაცვის პერსონალის მომზადება</t>
  </si>
  <si>
    <t>50 ბიოლოგიისა და სიცოცხლის შემსწავლელი კურსდამთავრებულის გადამზადება და დასაქმება</t>
  </si>
  <si>
    <t>ლაბორატორიული საქმიანობა</t>
  </si>
  <si>
    <t>UNDP 
CDC 
WHO/USAID 
Caritas Czech Republic in Georgia 
GF</t>
  </si>
  <si>
    <t>150 ეპიდემიოლოგისთვის ონლაინ ტრენინგი</t>
  </si>
  <si>
    <t>ეპიდზედამხედველობისთვის კადრის მომზადება</t>
  </si>
  <si>
    <t>აკადემიური ინსტიტუციების ჩართულობით შემუშვებული და მიწოდებული ტრენინგები</t>
  </si>
  <si>
    <t>COVID-19-ზე რეაგირებაში ჩართული ჯანდაცვის სპეციალისტებისა და სამედიცინო პერსონალის მიზნობრივი ტრენინგების უწყვეტი მიწოდება</t>
  </si>
  <si>
    <t>6.1.</t>
  </si>
  <si>
    <t xml:space="preserve">ამოცანა 6: ჯანდაცვის ადამიანური რესურსის მობილიზება, მართვა და მომზადება კოვიდზე რეაგირებისთვის </t>
  </si>
  <si>
    <t xml:space="preserve">სახელმწიფო ბიუჯეტი/WB
WHO/USAID
</t>
  </si>
  <si>
    <t>რეგულირების სააგენტოს მიერ 2020-21 წწ მანძლზე, გარკვეული პერიოდულობით დადებითად შეფასებული სამედიცინო დაწესებულებების %. რეგულირების სააგენტოს მატერიალურ-ტექნიკური ბაზის გაძლიერება.</t>
  </si>
  <si>
    <t>კოვიდ 19-ზე რეაგირებისთვის ჰოსპიტალური სექტორის მზაობის უზრუნველსაყოფად საკანონმდებლო მხარდაჭერა</t>
  </si>
  <si>
    <t xml:space="preserve">5.3. </t>
  </si>
  <si>
    <t>2021  დეკემბერი</t>
  </si>
  <si>
    <t>შენობა ფუნქციონირებისთვის მზადაა</t>
  </si>
  <si>
    <t>ინფექციური პათოლოგიებისა და შიდსის ცენტრის ახალი შენობის შეძენა და რეაბილიტაცია</t>
  </si>
  <si>
    <t>სახელმწიფო ბიუჯეტი/WB
სახელმწიფო ბიუჯეტი: რეაბილიტაციის პროგრამა
WHO/EU
WHO/USAID</t>
  </si>
  <si>
    <t>50 სასწრაფო დახმარების ავტომობილი, გადაუდებელი დახმარების ინვენტარი</t>
  </si>
  <si>
    <t>გადაუდებელი დახმარების სამსახურისთვის ავტოპარკის და აღჭურვილობის განახლება (ნაწილობრივ)</t>
  </si>
  <si>
    <t>სახელმწიფო ბიუჯეტი/WB
UNDP
WHO/EURO
Japan
სახელმწიფო ბიუჯეტი: რეაბილიტაციის პროგრამა</t>
  </si>
  <si>
    <t>ამოქმედდება 150 დამატებითი ინტენსიური მოვლის საწოლი</t>
  </si>
  <si>
    <t>შერჩეული სახელმწიფო ჰოსპიტლების მატერიალურ-ტექნიკური ბაზის გაძლიერება</t>
  </si>
  <si>
    <t>განახლდება და გაძლიერდება სასწრაფო-გადაუდებელი სამსახური და COVID-მკურნალობაში ჩართული ჰოსპიტალების რესურსები</t>
  </si>
  <si>
    <t>გადაუდებელ მდგომარეობებზე რეაგირებისთვის ჰოსპიტალების და სასწრაფო გადაუდებელი დახმარების სამსახურების ინფრასტრუქტურის და მატერიალურ-ტექნიკური რესურსების გაძლიერება</t>
  </si>
  <si>
    <t>5.2.</t>
  </si>
  <si>
    <t xml:space="preserve">სახელმწიფო ბიუჯეტი- WB
UNDP 
CDC
WHO
WHO/EU
</t>
  </si>
  <si>
    <t>ჰოსპიტალური საწოლფონდის მობილიზება ხორციელდება მთავრობის #322 დადგენილების შესაბამისად (23 მაისი 2020 წელი)</t>
  </si>
  <si>
    <t>ჰოსპიტალების გადაუდებელი სიტუაციისთვის მზაობის და კატასტროფების დროს რეაგირების გაუმჯობესება</t>
  </si>
  <si>
    <t xml:space="preserve">5.1. </t>
  </si>
  <si>
    <t>ამოცანა 5: ჰოსპიტალური სექტორი მზაობის უზრუნველყოფა</t>
  </si>
  <si>
    <r>
      <rPr>
        <sz val="10"/>
        <rFont val="Sylfaen"/>
        <family val="1"/>
      </rPr>
      <t>სახელმწიფო ბიუჯეტი/WB (100 გუნდის აღჭურვა)</t>
    </r>
    <r>
      <rPr>
        <sz val="10"/>
        <color theme="1"/>
        <rFont val="Sylfaen"/>
        <family val="1"/>
      </rPr>
      <t xml:space="preserve">
სახელმწიფო ბიუჯეტი დაწესებულებათა რეაბილიტაციის პროგრამა</t>
    </r>
  </si>
  <si>
    <t>სოფლად პჯდ ობიექტების აღჭურვა- რეაბილიტაციის დასრულება: 325 სოფლის ამბულატორიის აღჭურვა 2020 წლის ბოლომდე; 475 სოფლის ამბულატორიის რეაბილიტაცია და აღჭურვა 2021 წლის ბოლომდე</t>
  </si>
  <si>
    <t>პირველადი ჯანდაცვაში რუტინული და ესენციური სერვისების უწყვეტი მიწოდება</t>
  </si>
  <si>
    <t>4.5.</t>
  </si>
  <si>
    <t>2000 პჯდ ექიმს და ექთანს გავლილი აქვს ინფექციის კონტროლის ტრეინინგი გასული 12 თვის განმავლობაში (იხილეთ ამოცანა 6)</t>
  </si>
  <si>
    <t>პირველად ჯანდაცვაში ინფექციების კონტროლის გაძლიერება</t>
  </si>
  <si>
    <t>4.4.</t>
  </si>
  <si>
    <t>პჯდ სექტორის მომზადება მსუბუქი და საშუალო სიმძიმის მქონე და გამოჯანმრთელებული COVID-19 პაციენტების მეთვალყურეობისთვის</t>
  </si>
  <si>
    <t>4.3.</t>
  </si>
  <si>
    <t>სახელმწიფო ბიუჯეტი
WB
UNICEF</t>
  </si>
  <si>
    <t>2021 ივნისი</t>
  </si>
  <si>
    <t>50 პჯდ გუნდი იყენებს ტელემედიცინის შესაძლებლობებს (ტრენინგი, ინტერნეტი, ადგილზე მეთვალყურეობა)</t>
  </si>
  <si>
    <t xml:space="preserve">პირველად ჯანდაცვაში ტელემედიცინის ტექნოლოგიების დანერგვა  </t>
  </si>
  <si>
    <t xml:space="preserve">4.2. </t>
  </si>
  <si>
    <t>სახელმწიფო ბიუჯეტი/ ადმინისტრაციული ხარჯი</t>
  </si>
  <si>
    <t xml:space="preserve">საყოველთაო ჯანდაცვის პროგრამაში მონაწილე სამედიცინო დაწესებულებებს აქვთ COVID-19 ზე რეაგირების გეგმა </t>
  </si>
  <si>
    <t>პჯდ-ს საგანგებო მდგომარეობაზე რეაგირების გაუმჯობესება</t>
  </si>
  <si>
    <t xml:space="preserve">4.1. </t>
  </si>
  <si>
    <t xml:space="preserve">ამოცანა 4: COVID- 19-ზე რეაგირებისთვის პირველადი ჯანდაცვის ქსელის გაძლიერება </t>
  </si>
  <si>
    <t>სახელმწიფო ბიუჯეტი /WB
სახელმწიფო ბიუჯეტი 22050000 (2021)</t>
  </si>
  <si>
    <t>დღიურად ჩასატარებელი PCR ტესტირებებისთვის შესაძლებლობის გაზრდა 215 / 100 000 მოსახლეზე</t>
  </si>
  <si>
    <t>COVID-19-ზე ტესტირების გაფართოება</t>
  </si>
  <si>
    <t>3.4.</t>
  </si>
  <si>
    <t xml:space="preserve">სახელმწიფო ბიუჯეტი / დკსჯეც-ის ადმინისტრაციული ხარჯი
CDC
</t>
  </si>
  <si>
    <t>ლუგარის ს/ჯ კვლევით ლაბორატორიაში ხელმისაწვდომია ხარისხის გარე შეფასების ანგარიშები</t>
  </si>
  <si>
    <t>COVID-19-ზე ლაბორატორიული დიაგნოსტიკის სერვისის ხარისხის ზედამხედველობა</t>
  </si>
  <si>
    <t>3.3.</t>
  </si>
  <si>
    <r>
      <rPr>
        <sz val="10"/>
        <rFont val="Sylfaen"/>
        <family val="1"/>
      </rPr>
      <t>CDC</t>
    </r>
    <r>
      <rPr>
        <sz val="10"/>
        <color rgb="FFFF0000"/>
        <rFont val="Sylfaen"/>
        <family val="1"/>
      </rPr>
      <t xml:space="preserve">
დონორული დახმარება (მოსაძიებელია)</t>
    </r>
  </si>
  <si>
    <t xml:space="preserve">2021 წლის დეკემბერი </t>
  </si>
  <si>
    <t xml:space="preserve">(1) დამატებითი ფართები  აღჭურვილია (ბათუმი და ქუთაისი) (2) აშენებულია ინფრასტრუქტურა (სამცხე-ჯავახეთის, ფოთის და კახეთის განყოფილება) მე-2 დონის შესაბამისი ლაბორატორიული სივრცის მოწყობისათვის. </t>
  </si>
  <si>
    <t xml:space="preserve">ლაბორატორიული ინფრასტრუქტურის განვითარება </t>
  </si>
  <si>
    <t>3.2.</t>
  </si>
  <si>
    <t>2020 წლის დეკემბერი</t>
  </si>
  <si>
    <r>
      <t>50 ბიოლოგიისა და სიცოცხლის შემსწავლელი კურსდამთავრებულის გადამზადება და დასაქმება (</t>
    </r>
    <r>
      <rPr>
        <i/>
        <sz val="10"/>
        <color theme="1"/>
        <rFont val="სყ"/>
        <charset val="1"/>
      </rPr>
      <t>იხილეთ ამოცანა 6</t>
    </r>
    <r>
      <rPr>
        <sz val="10"/>
        <color theme="1"/>
        <rFont val="სყ"/>
      </rPr>
      <t>)</t>
    </r>
  </si>
  <si>
    <t xml:space="preserve">ადამიანური რესურსების განვითარება ლაბორატორიული დიაგნოსტიკის შესაძლებლობების გაძლიერებისთვის </t>
  </si>
  <si>
    <t>3.1.</t>
  </si>
  <si>
    <r>
      <t>ამოცანა</t>
    </r>
    <r>
      <rPr>
        <b/>
        <sz val="10"/>
        <color theme="1"/>
        <rFont val="Times New Roman"/>
        <family val="1"/>
      </rPr>
      <t xml:space="preserve"> 3: </t>
    </r>
    <r>
      <rPr>
        <b/>
        <sz val="10"/>
        <color theme="1"/>
        <rFont val="Sylfaen"/>
        <family val="1"/>
      </rPr>
      <t>ლაბორატორიული</t>
    </r>
    <r>
      <rPr>
        <b/>
        <sz val="10"/>
        <color theme="1"/>
        <rFont val="Times New Roman"/>
        <family val="1"/>
      </rPr>
      <t xml:space="preserve"> </t>
    </r>
    <r>
      <rPr>
        <b/>
        <sz val="10"/>
        <color theme="1"/>
        <rFont val="Sylfaen"/>
        <family val="1"/>
      </rPr>
      <t>სისტემების</t>
    </r>
    <r>
      <rPr>
        <b/>
        <sz val="10"/>
        <color theme="1"/>
        <rFont val="Times New Roman"/>
        <family val="1"/>
      </rPr>
      <t xml:space="preserve"> </t>
    </r>
    <r>
      <rPr>
        <b/>
        <sz val="10"/>
        <color theme="1"/>
        <rFont val="Sylfaen"/>
        <family val="1"/>
      </rPr>
      <t>გაძლიერება</t>
    </r>
    <r>
      <rPr>
        <b/>
        <sz val="10"/>
        <color theme="1"/>
        <rFont val="Times New Roman"/>
        <family val="1"/>
      </rPr>
      <t xml:space="preserve">, </t>
    </r>
    <r>
      <rPr>
        <b/>
        <sz val="10"/>
        <color theme="1"/>
        <rFont val="Sylfaen"/>
        <family val="1"/>
      </rPr>
      <t>დიაგნოსტიკა</t>
    </r>
    <r>
      <rPr>
        <b/>
        <sz val="10"/>
        <color theme="1"/>
        <rFont val="Times New Roman"/>
        <family val="1"/>
      </rPr>
      <t xml:space="preserve"> </t>
    </r>
    <r>
      <rPr>
        <b/>
        <sz val="10"/>
        <color theme="1"/>
        <rFont val="Sylfaen"/>
        <family val="1"/>
      </rPr>
      <t>და</t>
    </r>
    <r>
      <rPr>
        <b/>
        <sz val="10"/>
        <color theme="1"/>
        <rFont val="Times New Roman"/>
        <family val="1"/>
      </rPr>
      <t xml:space="preserve"> </t>
    </r>
    <r>
      <rPr>
        <b/>
        <sz val="10"/>
        <color theme="1"/>
        <rFont val="Sylfaen"/>
        <family val="1"/>
      </rPr>
      <t>ტესტირება</t>
    </r>
    <r>
      <rPr>
        <b/>
        <sz val="10"/>
        <color theme="1"/>
        <rFont val="Times New Roman"/>
        <family val="1"/>
      </rPr>
      <t xml:space="preserve"> </t>
    </r>
  </si>
  <si>
    <t xml:space="preserve">Czech Development Agency/Caritas Czech 
CDC
</t>
  </si>
  <si>
    <t>2021 წლის აპრილი</t>
  </si>
  <si>
    <t>ერთიანი ინტეგრირებული ელექტრონული ბაზა მოქმედია</t>
  </si>
  <si>
    <t>ეპიდზედამხედველობის მიზნით ელექტრონული ბაზების ინტეგრაციის უზრუნველყოფა</t>
  </si>
  <si>
    <t>2.5.</t>
  </si>
  <si>
    <t>CDC</t>
  </si>
  <si>
    <t>უჩვეულო რესპირატორული მოვლენების იდენტიფიცირება და შეტყობინება გახდება სავალდებულო</t>
  </si>
  <si>
    <t xml:space="preserve">უჩვეულო რესპირატორულ მოვლენებზე დაფუძნებული ადრეული შეტყობინების სისტემის გაძლიერება  </t>
  </si>
  <si>
    <t>2.4.</t>
  </si>
  <si>
    <t>სახელმწიფო ბიუჯეტი, ეპიდზედამხედველობის სახელმწიფო პროგრამა  (გრიპზე რეაგირება)
WB</t>
  </si>
  <si>
    <t>2020 და 2021 წლის განმავლობაში</t>
  </si>
  <si>
    <r>
      <t xml:space="preserve">გრიპი, გრიპისმაგვარი დაავადებები, მძიმე მწვავე რესპირატორული ინფექციები) ეპიდზედამხედველობისთვის მოქმედებს </t>
    </r>
    <r>
      <rPr>
        <sz val="10"/>
        <color rgb="FFFF0000"/>
        <rFont val="სყ"/>
        <charset val="1"/>
      </rPr>
      <t>13</t>
    </r>
    <r>
      <rPr>
        <sz val="10"/>
        <color theme="1"/>
        <rFont val="სყ"/>
      </rPr>
      <t xml:space="preserve"> საყრდენი ბაზა </t>
    </r>
  </si>
  <si>
    <t xml:space="preserve">საყრდენი ბაზებით ეპიდზედამხედველობის გაფართოება </t>
  </si>
  <si>
    <t>2.3.</t>
  </si>
  <si>
    <r>
      <t>100 სათადარიგო კადრი მომზადებულია კონტაქტების მიდევნებასა და COVID-ის ეპიდზედამხედველობაში (</t>
    </r>
    <r>
      <rPr>
        <i/>
        <sz val="10"/>
        <color theme="1"/>
        <rFont val="სყ"/>
        <charset val="1"/>
      </rPr>
      <t>იხილეთ ამოცანა 6</t>
    </r>
    <r>
      <rPr>
        <sz val="10"/>
        <color theme="1"/>
        <rFont val="სყ"/>
      </rPr>
      <t>)</t>
    </r>
  </si>
  <si>
    <t>ადამიანური რესურსების გაძლიერება შემთხვევების გამოვლენისა და კონტაქტების მიდევნებისთვის</t>
  </si>
  <si>
    <t>2.2.</t>
  </si>
  <si>
    <t>სახელმწიფო ბიუჯეტი/ადმინისტრაციული ხარჯი
WB</t>
  </si>
  <si>
    <t>2020 წლის ოქტომბერი</t>
  </si>
  <si>
    <t>ანალიტიკური შესაძლებლობების გაუმჯობესება, მტკიცებულებებზე დაფუძნებული გადაწყვეტილებების მისაღებად</t>
  </si>
  <si>
    <t>COVID-19-ზე რეგირებისთვის განგაშის სამ დონიანი სისტემის დანერგვა</t>
  </si>
  <si>
    <t>2.1.</t>
  </si>
  <si>
    <t>ამოცანა 2: ეპიდზედამხედველობის გაძლიერება სტრატეგიული ღონისძიებები</t>
  </si>
  <si>
    <t>სახელმწიფო ბიუჯეტი: ადმინისტრაციული ხარჯი
მოიცავს ეპიდზედამხედველობის პროგრამა, ახალი კორონავირუსული დაავადების COVID 19-ის მართვის პროგრამა, ჯანმრთელობის ხელშეწყობის პროგრამა</t>
  </si>
  <si>
    <t>კოვიდზე რეაგირების პროგრამები/ღონისძიებები ასახულია საშუალოვადიანი დაგეგმვის დოკუმენტში (BDD)</t>
  </si>
  <si>
    <t xml:space="preserve">COVID-19-ზე რეაგირების ჯანმრთელობის დაცვის სახელმწიფო პროგრამის უწყვეტობის უზრუნველყოფა </t>
  </si>
  <si>
    <t>1.3.</t>
  </si>
  <si>
    <t>2021 წლის მარტი</t>
  </si>
  <si>
    <t>საზოგადოებრივი ჯანმრთელობის ცენტრების ადამიანური რესურსით დაკომპლექტების გეგმა მომზადებულია და სრულდება. გადამზადება იხილეთ ამოცანა 6</t>
  </si>
  <si>
    <t>საზოგადოებრივი ჯანმრთელობის მუნიციპალური ცენტრების ადამიანური რესურსების გაძლიერება</t>
  </si>
  <si>
    <t>1.2.</t>
  </si>
  <si>
    <t>სახელმწიფო ბიუჯეტი
ეპიდზედამხედველობის სახელმწიფო პროგრამა; 
WB</t>
  </si>
  <si>
    <t>2021 წლის დეკემბერი</t>
  </si>
  <si>
    <t>ყველა მუნიციპალიტეტში ფუნქციონირებს საზოგადოებრივი ჯანმრთელობის ერთეული, დაკომპლექტებული და ტექნიკურად აღჭურვილი, უწყვეტი და მდგრადი დაფინანსებით, საზოგადოებრივი ჯანმრთელობის დაცვის ეროვნული რეკომენდაციის (გაიდლაინის) შესაბამისად</t>
  </si>
  <si>
    <t>მუნიციპალიტეტებში საზოგადოებრივი ჯანდაცვის სამსახურის ორგანიზაციული მოწყობის მოდელის განახლება</t>
  </si>
  <si>
    <t xml:space="preserve">1.1. </t>
  </si>
  <si>
    <t>ამოცანა 1: საზოგადოებრივი ჯანმრთელობის სისტემის გაძლიერება</t>
  </si>
  <si>
    <t xml:space="preserve">დაფინანსების წყარო </t>
  </si>
  <si>
    <t>ბიუჯეტი 2020 აგვისტოდან - 2021 დეკემბერი</t>
  </si>
  <si>
    <t>2020 წლის თებერვლი-ივლისი</t>
  </si>
  <si>
    <t>დასრულების ვადა</t>
  </si>
  <si>
    <t xml:space="preserve">მოსალოდნელი შედეგი </t>
  </si>
  <si>
    <t xml:space="preserve">ამოცანები და სტრატეგიული ღონისძიებები </t>
  </si>
  <si>
    <t xml:space="preserve">კოვიდ 19 ჰოსპიტალური მომსახურების (სრული მობილიზება,  მკურნალობა, ჰოსპიტალური კარანტინი)  - რეტროაქტიული ანაზღაურება, რაც აგვისტოს მდგომარეობით შეადგენდა 21 000 000 ლარს. შესაძლებელია შესაძლებელია თანხის ანაზღაურება გაიყოს დონორებს შორის და ისე განხორციელდეს. </t>
  </si>
  <si>
    <t xml:space="preserve">სოციალური - ვინაიდან მსოფლიო ბანკის COVID-19-ის წინააღმდეგ სწრაფი რეაგირების პროექტი არ ფარავს შშმ პირების კომპენსაციებს,  2020 წელს გაწეული ხარჯების რეტროაქტიულად დაფინანსება შესაძლებელია განვიხილოთ. </t>
  </si>
  <si>
    <t>სოციალური - ვინაიდან მსოფლიო ბანკის COVID-19-ის წინააღმდეგ სწრაფი რეაგირების პროექტი არ ფარავს ასევე 18 წლამდე ბავშვთა ერთჯერადი სოციალური დახმარებებს 2020 წელს გაწეული ხარჯების რეტროაქტიულად დაფინანსება შესაძლებელია განვიხილოთ</t>
  </si>
  <si>
    <t>სხვა კოვიდ საჭიროებები</t>
  </si>
  <si>
    <t>ტრეინინგები და ტექნიკური დახმარება</t>
  </si>
  <si>
    <t>ვაქცინის შესყიდვა (დოზა/ცალი 1 484 400)</t>
  </si>
  <si>
    <t>ტესტირების სერვისი (1 500 000)</t>
  </si>
  <si>
    <t>სერვისების მიწოდება</t>
  </si>
  <si>
    <t>სავარაუდო ბიუჯეტი (USD)</t>
  </si>
  <si>
    <t>საჭიროებების ჩამონათვალი (2021 წლის ჩათვლით)</t>
  </si>
  <si>
    <t>ასანაზღაურებელი ხარჯი (GEL)</t>
  </si>
  <si>
    <t>ასანაზღაურებელი ხარჯი (USD)</t>
  </si>
  <si>
    <t xml:space="preserve">კარანტინის ხარჯები - მსოფლიო ბანკის COVID-19-ის წინააღმდეგ სწრაფი რეაგირების პროექტის ფარგლებში არასაკმარისი რესურსის არსებობის გამო, და იმის გათვალისწილებით რომ თანხმობა ჯერ არ მიგვიღია მსოფლიო ბანკიდან საქართველოს ეროვნული ტურიზმის ადმინისტრაციის მიერ გადახდილი თანხების ანაზღაურებაზე სასტუმროებისთვის. თანხა უნდა ანაზრაურდეს რეტროაქტიულად, შესაძლებელია გაიყოს დონორებს შორის. </t>
  </si>
  <si>
    <t>ჰოსპიტალური აღჭურვილობა</t>
  </si>
  <si>
    <t xml:space="preserve"> შ.პ.ს „აკ. ნიკოლოზ ყიფშიძის სახელობის ცენტრალური საუნივერსიტეტო კლინიკა“ (რუხის რესპუბლიკური ჰოსპიტალი),
შ.პ.ს „ბათუმის რესპუბლიკური საავადმყოფო“,
ს/ს ინფექციური პათოლოგიის, შიდსის და კლინიკური იმუნოლოგიის ს/პ ცენტრი,
შ.პ.ს. „რეგიონული ჯანდაცვის ცენტრი“ (ქუთაისი), 
სსიუ თბილისის სახელმწიფო სამედიცინო უნივერსიტეტის პირველი საუნივერსიტეტო კლინიკა, და
ს/ს საჩხერის რაიონული საავადმყოფო-პოლიკლინიკური გაერთიანება. 
</t>
  </si>
  <si>
    <t>WB - ის პრიორიტეტული ჰოსპიტალური აღჭურვილობა</t>
  </si>
  <si>
    <t>ლისის საავადმყოფოს აღჭურვა (MOH needs assessment 2020)</t>
  </si>
  <si>
    <t>ლაბორატორიული ქსელის აღჭურვილობა</t>
  </si>
  <si>
    <t>თერმოციკლერი, რეალურ დროში პჯრ სისტემა CFX96 Touch Real-Time PCR Detection System სენსორული ეკრანით და 96 ფოსოიანი ბლოკით და განახლებული პროგრამული უზრუნველყოფით.</t>
  </si>
  <si>
    <t xml:space="preserve">50 პირველადი ჯანდაცვის  ტელემედიცინის ტექნოლოგიების დანერგვა  </t>
  </si>
  <si>
    <t xml:space="preserve">რეაბილიტაცია </t>
  </si>
  <si>
    <t>კოვიდ 19 ჰოსპიტალური მომსახურების (სრული მობილიზება,  მკურნალობა)</t>
  </si>
  <si>
    <t>1.a</t>
  </si>
  <si>
    <t>1.b</t>
  </si>
  <si>
    <t>სახარჯი მასალები</t>
  </si>
  <si>
    <t xml:space="preserve">ტესტები(ანტიგენი, ანტისხეულები, PCR) </t>
  </si>
  <si>
    <t>(დეტალებისთვის იხ. NCDC შიტი)</t>
  </si>
  <si>
    <t>სავარაუდო ბიუჯეტი
(GEL)</t>
  </si>
  <si>
    <t>2. პირადი დაცვის საშუალებების შეძენა (NCDC, საგანგებო)</t>
  </si>
  <si>
    <t>(დეტალებისთვის იხ. შესაბამისი შიტები)</t>
  </si>
  <si>
    <t xml:space="preserve">პირველადი ჯანდაცვის დაწესებულებების აღჭურვილობა </t>
  </si>
  <si>
    <t>3.a</t>
  </si>
  <si>
    <t>3.b</t>
  </si>
  <si>
    <t>3.c</t>
  </si>
  <si>
    <t>3.d</t>
  </si>
  <si>
    <r>
      <t>1.</t>
    </r>
    <r>
      <rPr>
        <b/>
        <sz val="7"/>
        <color theme="1"/>
        <rFont val="Calibri"/>
        <family val="2"/>
        <scheme val="minor"/>
      </rPr>
      <t xml:space="preserve">     </t>
    </r>
    <r>
      <rPr>
        <b/>
        <sz val="11"/>
        <color theme="1"/>
        <rFont val="Calibri"/>
        <family val="2"/>
        <scheme val="minor"/>
      </rPr>
      <t>ტესტირება</t>
    </r>
  </si>
  <si>
    <r>
      <rPr>
        <b/>
        <sz val="7"/>
        <rFont val="Calibri"/>
        <family val="2"/>
        <scheme val="minor"/>
      </rPr>
      <t>  </t>
    </r>
    <r>
      <rPr>
        <b/>
        <sz val="11"/>
        <rFont val="Calibri"/>
        <family val="2"/>
        <scheme val="minor"/>
      </rPr>
      <t>3. სამედიცინო აღჭურვილობა</t>
    </r>
  </si>
  <si>
    <t xml:space="preserve">3.e </t>
  </si>
  <si>
    <t>MOH needs assesement 2020</t>
  </si>
  <si>
    <t>4.a</t>
  </si>
  <si>
    <t>4.b</t>
  </si>
  <si>
    <t>4.c</t>
  </si>
  <si>
    <t>სსიპ საგანგებო სიტუაციების კოორინირების და გადაუდებლი დახმარების ცენტრის აჭურვილობა (MOH needs assesement 2020)</t>
  </si>
  <si>
    <t>5.a</t>
  </si>
  <si>
    <t>5.b</t>
  </si>
  <si>
    <t>6.a</t>
  </si>
  <si>
    <t>6.b</t>
  </si>
  <si>
    <t>ავანსის ჩათვლით</t>
  </si>
  <si>
    <t xml:space="preserve">კოვიდ ვაქცინა  </t>
  </si>
  <si>
    <t xml:space="preserve">7.ა </t>
  </si>
  <si>
    <t xml:space="preserve">7.ბ </t>
  </si>
  <si>
    <t>ტრეინინგები და ტექნიკური დახმარება (სამინისტრო)</t>
  </si>
  <si>
    <t xml:space="preserve"> შშმ პირების კომპენსაციები</t>
  </si>
  <si>
    <t>8.a</t>
  </si>
  <si>
    <t>ჯანდაცვის საჭიროებები ჯამურად</t>
  </si>
  <si>
    <t>8.b</t>
  </si>
  <si>
    <t>18 წლამდე ბავშვთა ერთჯერადი სოციალური დახმარებები</t>
  </si>
  <si>
    <t>8.c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</si>
</sst>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4" formatCode="_(&quot;$&quot;* #,##0.00_);_(&quot;$&quot;* \(#,##0.00\);_(&quot;$&quot;* &quot;-&quot;??_);_(@_)"/>
    <numFmt numFmtId="43" formatCode="_(* #,##0.00_);_(* \(#,##0.00\);_(* &quot;-&quot;??_);_(@_)"/>
    <numFmt numFmtId="164" formatCode="_(* #,##0.0_);_(* \(#,##0.0\);_(* &quot;-&quot;??_);_(@_)"/>
    <numFmt numFmtId="165" formatCode="_(* #,##0_);_(* \(#,##0\);_(* &quot;-&quot;??_);_(@_)"/>
    <numFmt numFmtId="166" formatCode="_([$GEL]\ * #,##0_);_([$GEL]\ * \(#,##0\);_([$GEL]\ * &quot;-&quot;??_);_(@_)"/>
    <numFmt numFmtId="167" formatCode="_([$GEL]\ * #,##0.00_);_([$GEL]\ * \(#,##0.00\);_([$GEL]\ * &quot;-&quot;??_);_(@_)"/>
    <numFmt numFmtId="168" formatCode="_([$$-409]* #,##0.00_);_([$$-409]* \(#,##0.00\);_([$$-409]* &quot;-&quot;??_);_(@_)"/>
  </numFmts>
  <fonts count="50">
    <font>
      <sz val="11"/>
      <color theme="1"/>
      <name val="Calibri"/>
      <family val="2"/>
      <scheme val="minor"/>
    </font>
    <font>
      <sz val="11"/>
      <color theme="1"/>
      <name val="Calibri"/>
      <family val="2"/>
      <scheme val="minor"/>
    </font>
    <font>
      <sz val="11"/>
      <color rgb="FF212121"/>
      <name val="Sylfaen"/>
      <family val="1"/>
    </font>
    <font>
      <b/>
      <sz val="11"/>
      <color rgb="FF212121"/>
      <name val="Sylfaen"/>
      <family val="1"/>
    </font>
    <font>
      <b/>
      <sz val="7"/>
      <color rgb="FF212121"/>
      <name val="Times New Roman"/>
      <family val="1"/>
    </font>
    <font>
      <sz val="10"/>
      <color rgb="FF212121"/>
      <name val="Sylfaen"/>
      <family val="1"/>
    </font>
    <font>
      <sz val="11"/>
      <color theme="1"/>
      <name val="Arial"/>
      <family val="2"/>
    </font>
    <font>
      <sz val="11"/>
      <color rgb="FFFF0000"/>
      <name val="Calibri"/>
      <family val="2"/>
      <scheme val="minor"/>
    </font>
    <font>
      <sz val="11"/>
      <color rgb="FFFF0000"/>
      <name val="Sylfaen"/>
      <family val="1"/>
    </font>
    <font>
      <sz val="10"/>
      <color rgb="FFFF0000"/>
      <name val="Sylfaen"/>
      <family val="1"/>
    </font>
    <font>
      <b/>
      <sz val="10"/>
      <color rgb="FFFF0000"/>
      <name val="Sylfaen"/>
      <family val="1"/>
    </font>
    <font>
      <sz val="9"/>
      <color rgb="FF212121"/>
      <name val="Sylfaen"/>
      <family val="1"/>
    </font>
    <font>
      <sz val="8"/>
      <color rgb="FFFFFF00"/>
      <name val="Calibri"/>
      <family val="2"/>
      <scheme val="minor"/>
    </font>
    <font>
      <b/>
      <sz val="11"/>
      <color theme="1"/>
      <name val="Calibri"/>
      <family val="2"/>
      <scheme val="minor"/>
    </font>
    <font>
      <sz val="11"/>
      <color rgb="FF9C0006"/>
      <name val="Calibri"/>
      <family val="2"/>
      <scheme val="minor"/>
    </font>
    <font>
      <sz val="11"/>
      <color rgb="FFFA7D00"/>
      <name val="Calibri"/>
      <family val="2"/>
      <scheme val="minor"/>
    </font>
    <font>
      <i/>
      <sz val="11"/>
      <color rgb="FF7F7F7F"/>
      <name val="Calibri"/>
      <family val="2"/>
      <scheme val="minor"/>
    </font>
    <font>
      <sz val="8"/>
      <name val="Calibri"/>
      <family val="2"/>
      <scheme val="minor"/>
    </font>
    <font>
      <sz val="10"/>
      <color theme="1"/>
      <name val="Arial"/>
      <family val="2"/>
    </font>
    <font>
      <b/>
      <sz val="10"/>
      <color rgb="FFFF0000"/>
      <name val="Arial"/>
      <family val="2"/>
    </font>
    <font>
      <b/>
      <sz val="10"/>
      <color theme="1"/>
      <name val="Arial"/>
      <family val="2"/>
    </font>
    <font>
      <b/>
      <sz val="10"/>
      <name val="Arial"/>
      <family val="2"/>
    </font>
    <font>
      <b/>
      <sz val="11"/>
      <color rgb="FFFF0000"/>
      <name val="Arial"/>
      <family val="2"/>
    </font>
    <font>
      <b/>
      <sz val="11"/>
      <color rgb="FFFF0000"/>
      <name val="Calibri"/>
      <family val="2"/>
      <scheme val="minor"/>
    </font>
    <font>
      <i/>
      <sz val="10"/>
      <color theme="1"/>
      <name val="Arial"/>
      <family val="2"/>
    </font>
    <font>
      <b/>
      <i/>
      <sz val="10"/>
      <color theme="1"/>
      <name val="Arial"/>
      <family val="2"/>
    </font>
    <font>
      <i/>
      <sz val="10"/>
      <name val="Arial"/>
      <family val="2"/>
    </font>
    <font>
      <b/>
      <i/>
      <sz val="10"/>
      <color theme="1" tint="0.249977111117893"/>
      <name val="Arial"/>
      <family val="2"/>
    </font>
    <font>
      <sz val="11"/>
      <color theme="1"/>
      <name val="Sylfaen"/>
      <family val="1"/>
    </font>
    <font>
      <b/>
      <sz val="11"/>
      <color theme="1"/>
      <name val="Sylfaen"/>
      <family val="1"/>
    </font>
    <font>
      <b/>
      <sz val="7"/>
      <color theme="1"/>
      <name val="Times New Roman"/>
      <family val="1"/>
    </font>
    <font>
      <sz val="7"/>
      <color theme="1"/>
      <name val="Times New Roman"/>
      <family val="1"/>
    </font>
    <font>
      <sz val="10"/>
      <color theme="1"/>
      <name val="Sylfaen"/>
      <family val="1"/>
    </font>
    <font>
      <sz val="10"/>
      <color theme="1"/>
      <name val="სყ"/>
    </font>
    <font>
      <sz val="10"/>
      <color theme="1"/>
      <name val="Calibri"/>
      <family val="2"/>
      <scheme val="minor"/>
    </font>
    <font>
      <b/>
      <sz val="11"/>
      <color theme="1"/>
      <name val="სყ"/>
      <charset val="1"/>
    </font>
    <font>
      <sz val="10"/>
      <name val="Sylfaen"/>
      <family val="1"/>
    </font>
    <font>
      <sz val="10"/>
      <name val="სყ"/>
    </font>
    <font>
      <i/>
      <sz val="10"/>
      <color theme="1"/>
      <name val="სყ"/>
      <charset val="1"/>
    </font>
    <font>
      <b/>
      <sz val="10"/>
      <color theme="1"/>
      <name val="Times New Roman"/>
      <family val="1"/>
    </font>
    <font>
      <b/>
      <sz val="10"/>
      <color theme="1"/>
      <name val="Sylfaen"/>
      <family val="1"/>
    </font>
    <font>
      <sz val="10"/>
      <color rgb="FFFF0000"/>
      <name val="სყ"/>
      <charset val="1"/>
    </font>
    <font>
      <b/>
      <sz val="10"/>
      <color theme="1"/>
      <name val="სყ"/>
    </font>
    <font>
      <sz val="12"/>
      <color theme="1"/>
      <name val="Sylfaen"/>
      <family val="1"/>
    </font>
    <font>
      <sz val="11"/>
      <name val="Calibri"/>
      <family val="2"/>
      <scheme val="minor"/>
    </font>
    <font>
      <b/>
      <sz val="11"/>
      <name val="Calibri"/>
      <family val="2"/>
      <scheme val="minor"/>
    </font>
    <font>
      <b/>
      <sz val="7"/>
      <color theme="1"/>
      <name val="Calibri"/>
      <family val="2"/>
      <scheme val="minor"/>
    </font>
    <font>
      <b/>
      <sz val="7"/>
      <name val="Calibri"/>
      <family val="2"/>
      <scheme val="minor"/>
    </font>
    <font>
      <sz val="11"/>
      <color rgb="FF212121"/>
      <name val="Calibri"/>
      <family val="2"/>
      <scheme val="minor"/>
    </font>
    <font>
      <b/>
      <sz val="11"/>
      <color rgb="FF212121"/>
      <name val="Calibri"/>
      <family val="2"/>
      <scheme val="minor"/>
    </font>
  </fonts>
  <fills count="13">
    <fill>
      <patternFill patternType="none"/>
    </fill>
    <fill>
      <patternFill patternType="gray125"/>
    </fill>
    <fill>
      <patternFill patternType="solid">
        <fgColor rgb="FFFFFFFF"/>
        <bgColor indexed="64"/>
      </patternFill>
    </fill>
    <fill>
      <patternFill patternType="solid">
        <fgColor theme="9" tint="0.79998168889431442"/>
        <bgColor indexed="64"/>
      </patternFill>
    </fill>
    <fill>
      <patternFill patternType="solid">
        <fgColor rgb="FFFFFF00"/>
        <bgColor indexed="64"/>
      </patternFill>
    </fill>
    <fill>
      <patternFill patternType="solid">
        <fgColor rgb="FFFFC7CE"/>
      </patternFill>
    </fill>
    <fill>
      <patternFill patternType="solid">
        <fgColor rgb="FFF2F2F2"/>
      </patternFill>
    </fill>
    <fill>
      <patternFill patternType="solid">
        <fgColor theme="0" tint="-4.9989318521683403E-2"/>
        <bgColor indexed="64"/>
      </patternFill>
    </fill>
    <fill>
      <patternFill patternType="solid">
        <fgColor theme="4" tint="0.59999389629810485"/>
        <bgColor indexed="64"/>
      </patternFill>
    </fill>
    <fill>
      <patternFill patternType="solid">
        <fgColor rgb="FF00B0F0"/>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theme="7" tint="0.79998168889431442"/>
        <bgColor indexed="64"/>
      </patternFill>
    </fill>
  </fills>
  <borders count="71">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dashed">
        <color indexed="64"/>
      </bottom>
      <diagonal/>
    </border>
    <border>
      <left style="thin">
        <color indexed="64"/>
      </left>
      <right style="thin">
        <color indexed="64"/>
      </right>
      <top style="medium">
        <color indexed="64"/>
      </top>
      <bottom style="dashed">
        <color indexed="64"/>
      </bottom>
      <diagonal/>
    </border>
    <border>
      <left style="medium">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medium">
        <color indexed="64"/>
      </left>
      <right style="thin">
        <color indexed="64"/>
      </right>
      <top style="dashed">
        <color indexed="64"/>
      </top>
      <bottom style="medium">
        <color indexed="64"/>
      </bottom>
      <diagonal/>
    </border>
    <border>
      <left style="thin">
        <color indexed="64"/>
      </left>
      <right style="thin">
        <color indexed="64"/>
      </right>
      <top style="dashed">
        <color indexed="64"/>
      </top>
      <bottom style="medium">
        <color indexed="64"/>
      </bottom>
      <diagonal/>
    </border>
    <border>
      <left style="medium">
        <color indexed="64"/>
      </left>
      <right style="thin">
        <color indexed="64"/>
      </right>
      <top style="dashed">
        <color indexed="64"/>
      </top>
      <bottom/>
      <diagonal/>
    </border>
    <border>
      <left style="thin">
        <color indexed="64"/>
      </left>
      <right style="thin">
        <color indexed="64"/>
      </right>
      <top style="dashed">
        <color indexed="64"/>
      </top>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style="medium">
        <color indexed="64"/>
      </top>
      <bottom style="dashed">
        <color indexed="64"/>
      </bottom>
      <diagonal/>
    </border>
    <border>
      <left/>
      <right style="thin">
        <color indexed="64"/>
      </right>
      <top style="dashed">
        <color indexed="64"/>
      </top>
      <bottom style="dashed">
        <color indexed="64"/>
      </bottom>
      <diagonal/>
    </border>
    <border>
      <left/>
      <right style="thin">
        <color indexed="64"/>
      </right>
      <top style="dashed">
        <color indexed="64"/>
      </top>
      <bottom style="medium">
        <color indexed="64"/>
      </bottom>
      <diagonal/>
    </border>
    <border>
      <left/>
      <right style="thin">
        <color indexed="64"/>
      </right>
      <top style="dashed">
        <color indexed="64"/>
      </top>
      <bottom/>
      <diagonal/>
    </border>
    <border>
      <left/>
      <right style="thin">
        <color indexed="64"/>
      </right>
      <top style="medium">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dashed">
        <color indexed="64"/>
      </bottom>
      <diagonal/>
    </border>
    <border>
      <left style="thin">
        <color indexed="64"/>
      </left>
      <right style="medium">
        <color indexed="64"/>
      </right>
      <top style="dashed">
        <color indexed="64"/>
      </top>
      <bottom style="dashed">
        <color indexed="64"/>
      </bottom>
      <diagonal/>
    </border>
    <border>
      <left style="thin">
        <color indexed="64"/>
      </left>
      <right style="medium">
        <color indexed="64"/>
      </right>
      <top style="dashed">
        <color indexed="64"/>
      </top>
      <bottom style="medium">
        <color indexed="64"/>
      </bottom>
      <diagonal/>
    </border>
    <border>
      <left style="thin">
        <color indexed="64"/>
      </left>
      <right style="medium">
        <color indexed="64"/>
      </right>
      <top style="dashed">
        <color indexed="64"/>
      </top>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medium">
        <color indexed="64"/>
      </bottom>
      <diagonal/>
    </border>
    <border>
      <left style="medium">
        <color indexed="64"/>
      </left>
      <right style="medium">
        <color indexed="64"/>
      </right>
      <top/>
      <bottom style="medium">
        <color indexed="64"/>
      </bottom>
      <diagonal/>
    </border>
    <border>
      <left/>
      <right/>
      <top/>
      <bottom style="double">
        <color rgb="FFFF8001"/>
      </bottom>
      <diagonal/>
    </border>
    <border>
      <left/>
      <right style="medium">
        <color indexed="64"/>
      </right>
      <top style="thin">
        <color indexed="64"/>
      </top>
      <bottom style="medium">
        <color auto="1"/>
      </bottom>
      <diagonal/>
    </border>
    <border>
      <left/>
      <right/>
      <top style="thin">
        <color indexed="64"/>
      </top>
      <bottom style="medium">
        <color indexed="64"/>
      </bottom>
      <diagonal/>
    </border>
    <border>
      <left style="medium">
        <color indexed="64"/>
      </left>
      <right/>
      <top style="thin">
        <color rgb="FF7F7F7F"/>
      </top>
      <bottom style="medium">
        <color auto="1"/>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rgb="FF7F7F7F"/>
      </top>
      <bottom style="thin">
        <color rgb="FF7F7F7F"/>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medium">
        <color theme="1"/>
      </top>
      <bottom style="medium">
        <color indexed="64"/>
      </bottom>
      <diagonal/>
    </border>
    <border>
      <left/>
      <right/>
      <top style="medium">
        <color theme="1"/>
      </top>
      <bottom style="medium">
        <color indexed="64"/>
      </bottom>
      <diagonal/>
    </border>
    <border>
      <left style="medium">
        <color indexed="64"/>
      </left>
      <right/>
      <top style="medium">
        <color theme="1"/>
      </top>
      <bottom style="medium">
        <color indexed="64"/>
      </bottom>
      <diagonal/>
    </border>
    <border>
      <left/>
      <right/>
      <top style="medium">
        <color indexed="64"/>
      </top>
      <bottom style="medium">
        <color indexed="64"/>
      </bottom>
      <diagonal/>
    </border>
    <border>
      <left style="medium">
        <color indexed="64"/>
      </left>
      <right/>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bottom style="double">
        <color theme="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auto="1"/>
      </left>
      <right style="thin">
        <color auto="1"/>
      </right>
      <top/>
      <bottom style="thin">
        <color auto="1"/>
      </bottom>
      <diagonal/>
    </border>
    <border>
      <left style="thin">
        <color indexed="64"/>
      </left>
      <right style="thin">
        <color indexed="64"/>
      </right>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diagonal/>
    </border>
  </borders>
  <cellStyleXfs count="8">
    <xf numFmtId="0" fontId="0" fillId="0" borderId="0"/>
    <xf numFmtId="43" fontId="1" fillId="0" borderId="0" applyFont="0" applyFill="0" applyBorder="0" applyAlignment="0" applyProtection="0"/>
    <xf numFmtId="9" fontId="1" fillId="0" borderId="0" applyFont="0" applyFill="0" applyBorder="0" applyAlignment="0" applyProtection="0"/>
    <xf numFmtId="0" fontId="14" fillId="5" borderId="0" applyNumberFormat="0" applyBorder="0" applyAlignment="0" applyProtection="0"/>
    <xf numFmtId="0" fontId="15" fillId="0" borderId="38" applyNumberFormat="0" applyFill="0" applyAlignment="0" applyProtection="0"/>
    <xf numFmtId="0" fontId="7" fillId="0" borderId="0" applyNumberFormat="0" applyFill="0" applyBorder="0" applyAlignment="0" applyProtection="0"/>
    <xf numFmtId="0" fontId="16" fillId="0" borderId="0" applyNumberFormat="0" applyFill="0" applyBorder="0" applyAlignment="0" applyProtection="0"/>
    <xf numFmtId="44" fontId="1" fillId="0" borderId="0" applyFont="0" applyFill="0" applyBorder="0" applyAlignment="0" applyProtection="0"/>
  </cellStyleXfs>
  <cellXfs count="288">
    <xf numFmtId="0" fontId="0" fillId="0" borderId="0" xfId="0"/>
    <xf numFmtId="43" fontId="0" fillId="0" borderId="0" xfId="1" applyFont="1"/>
    <xf numFmtId="165" fontId="0" fillId="0" borderId="0" xfId="1" applyNumberFormat="1" applyFont="1"/>
    <xf numFmtId="165" fontId="0" fillId="0" borderId="0" xfId="0" applyNumberFormat="1"/>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165" fontId="2" fillId="2" borderId="2" xfId="1" applyNumberFormat="1"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3" borderId="2" xfId="0" applyFont="1" applyFill="1" applyBorder="1" applyAlignment="1">
      <alignment vertical="center" wrapText="1"/>
    </xf>
    <xf numFmtId="0" fontId="3" fillId="3" borderId="1" xfId="0" applyFont="1" applyFill="1" applyBorder="1" applyAlignment="1">
      <alignment vertical="center" wrapText="1"/>
    </xf>
    <xf numFmtId="0" fontId="2" fillId="2" borderId="3" xfId="0" applyFont="1" applyFill="1" applyBorder="1" applyAlignment="1">
      <alignment horizontal="left" vertical="center" wrapText="1"/>
    </xf>
    <xf numFmtId="0" fontId="2" fillId="2" borderId="4" xfId="0" applyFont="1" applyFill="1" applyBorder="1" applyAlignment="1">
      <alignment vertical="center" wrapText="1"/>
    </xf>
    <xf numFmtId="0" fontId="5" fillId="2" borderId="5" xfId="0" applyFont="1" applyFill="1" applyBorder="1" applyAlignment="1">
      <alignment horizontal="left" vertical="center" wrapText="1" indent="4"/>
    </xf>
    <xf numFmtId="0" fontId="5" fillId="2" borderId="6" xfId="0" applyFont="1" applyFill="1" applyBorder="1" applyAlignment="1">
      <alignment vertical="center" wrapText="1"/>
    </xf>
    <xf numFmtId="0" fontId="5" fillId="2" borderId="7" xfId="0" applyFont="1" applyFill="1" applyBorder="1" applyAlignment="1">
      <alignment horizontal="left" vertical="center" wrapText="1" indent="4"/>
    </xf>
    <xf numFmtId="0" fontId="5" fillId="2" borderId="8" xfId="0" applyFont="1" applyFill="1" applyBorder="1" applyAlignment="1">
      <alignment vertical="center" wrapText="1"/>
    </xf>
    <xf numFmtId="0" fontId="5" fillId="2" borderId="9" xfId="0" applyFont="1" applyFill="1" applyBorder="1" applyAlignment="1">
      <alignment horizontal="left" vertical="center" wrapText="1" indent="4"/>
    </xf>
    <xf numFmtId="0" fontId="5" fillId="2" borderId="10" xfId="0" applyFont="1" applyFill="1" applyBorder="1" applyAlignment="1">
      <alignment vertical="center" wrapText="1"/>
    </xf>
    <xf numFmtId="0" fontId="2" fillId="2" borderId="3" xfId="0" applyFont="1" applyFill="1" applyBorder="1" applyAlignment="1">
      <alignment vertical="center" wrapText="1"/>
    </xf>
    <xf numFmtId="0" fontId="5" fillId="2" borderId="11" xfId="0" applyFont="1" applyFill="1" applyBorder="1" applyAlignment="1">
      <alignment horizontal="left" vertical="center" wrapText="1" indent="4"/>
    </xf>
    <xf numFmtId="0" fontId="5" fillId="2" borderId="12" xfId="0" applyFont="1" applyFill="1" applyBorder="1" applyAlignment="1">
      <alignment vertical="center" wrapText="1"/>
    </xf>
    <xf numFmtId="0" fontId="6" fillId="0" borderId="1" xfId="0" applyFont="1" applyBorder="1" applyAlignment="1"/>
    <xf numFmtId="0" fontId="2" fillId="2" borderId="2" xfId="0" applyFont="1" applyFill="1" applyBorder="1" applyAlignment="1">
      <alignment vertical="center" wrapText="1"/>
    </xf>
    <xf numFmtId="0" fontId="5" fillId="2" borderId="13" xfId="0" applyFont="1" applyFill="1" applyBorder="1" applyAlignment="1">
      <alignment horizontal="left" vertical="center" wrapText="1" indent="4"/>
    </xf>
    <xf numFmtId="0" fontId="5" fillId="2" borderId="14" xfId="0" applyFont="1" applyFill="1" applyBorder="1" applyAlignment="1">
      <alignment vertical="center" wrapText="1"/>
    </xf>
    <xf numFmtId="0" fontId="5" fillId="2" borderId="15" xfId="0" applyFont="1" applyFill="1" applyBorder="1" applyAlignment="1">
      <alignment horizontal="left" vertical="center" wrapText="1" indent="4"/>
    </xf>
    <xf numFmtId="0" fontId="5" fillId="2" borderId="16" xfId="0" applyFont="1" applyFill="1" applyBorder="1" applyAlignment="1">
      <alignment vertical="center" wrapText="1"/>
    </xf>
    <xf numFmtId="0" fontId="5" fillId="2" borderId="17" xfId="0" applyFont="1" applyFill="1" applyBorder="1" applyAlignment="1">
      <alignment horizontal="left" vertical="center" wrapText="1" indent="4"/>
    </xf>
    <xf numFmtId="0" fontId="5" fillId="2" borderId="18" xfId="0" applyFont="1" applyFill="1" applyBorder="1" applyAlignment="1">
      <alignment vertical="center" wrapText="1"/>
    </xf>
    <xf numFmtId="0" fontId="5" fillId="2" borderId="4" xfId="0" applyFont="1" applyFill="1" applyBorder="1" applyAlignment="1">
      <alignment vertical="center" wrapText="1"/>
    </xf>
    <xf numFmtId="0" fontId="2" fillId="2" borderId="5" xfId="0" applyFont="1" applyFill="1" applyBorder="1" applyAlignment="1">
      <alignment vertical="center" wrapText="1"/>
    </xf>
    <xf numFmtId="0" fontId="2" fillId="2" borderId="6"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9" xfId="0" applyFont="1" applyFill="1" applyBorder="1" applyAlignment="1">
      <alignment vertical="center" wrapText="1"/>
    </xf>
    <xf numFmtId="0" fontId="2" fillId="2" borderId="10" xfId="0" applyFont="1" applyFill="1" applyBorder="1" applyAlignment="1">
      <alignment vertical="center" wrapText="1"/>
    </xf>
    <xf numFmtId="0" fontId="0" fillId="0" borderId="5" xfId="0" applyBorder="1"/>
    <xf numFmtId="0" fontId="0" fillId="0" borderId="7" xfId="0" applyBorder="1"/>
    <xf numFmtId="0" fontId="0" fillId="0" borderId="9" xfId="0" applyBorder="1"/>
    <xf numFmtId="166" fontId="3" fillId="3" borderId="2" xfId="1" applyNumberFormat="1" applyFont="1" applyFill="1" applyBorder="1" applyAlignment="1">
      <alignment vertical="center" wrapText="1"/>
    </xf>
    <xf numFmtId="166" fontId="2" fillId="2" borderId="4" xfId="1" applyNumberFormat="1" applyFont="1" applyFill="1" applyBorder="1" applyAlignment="1">
      <alignment vertical="center" wrapText="1"/>
    </xf>
    <xf numFmtId="166" fontId="5" fillId="2" borderId="6" xfId="1" applyNumberFormat="1" applyFont="1" applyFill="1" applyBorder="1" applyAlignment="1">
      <alignment vertical="center" wrapText="1"/>
    </xf>
    <xf numFmtId="166" fontId="5" fillId="2" borderId="8" xfId="1" applyNumberFormat="1" applyFont="1" applyFill="1" applyBorder="1" applyAlignment="1">
      <alignment vertical="center" wrapText="1"/>
    </xf>
    <xf numFmtId="166" fontId="5" fillId="2" borderId="10" xfId="1" applyNumberFormat="1" applyFont="1" applyFill="1" applyBorder="1" applyAlignment="1">
      <alignment vertical="center" wrapText="1"/>
    </xf>
    <xf numFmtId="166" fontId="5" fillId="2" borderId="12" xfId="1" applyNumberFormat="1" applyFont="1" applyFill="1" applyBorder="1" applyAlignment="1">
      <alignment vertical="center" wrapText="1"/>
    </xf>
    <xf numFmtId="166" fontId="2" fillId="2" borderId="2" xfId="1" applyNumberFormat="1" applyFont="1" applyFill="1" applyBorder="1" applyAlignment="1">
      <alignment vertical="center" wrapText="1"/>
    </xf>
    <xf numFmtId="166" fontId="5" fillId="2" borderId="14" xfId="1" applyNumberFormat="1" applyFont="1" applyFill="1" applyBorder="1" applyAlignment="1">
      <alignment vertical="center" wrapText="1"/>
    </xf>
    <xf numFmtId="166" fontId="5" fillId="2" borderId="16" xfId="1" applyNumberFormat="1" applyFont="1" applyFill="1" applyBorder="1" applyAlignment="1">
      <alignment vertical="center" wrapText="1"/>
    </xf>
    <xf numFmtId="166" fontId="5" fillId="2" borderId="18" xfId="1" applyNumberFormat="1" applyFont="1" applyFill="1" applyBorder="1" applyAlignment="1">
      <alignment vertical="center" wrapText="1"/>
    </xf>
    <xf numFmtId="166" fontId="5" fillId="2" borderId="4" xfId="1" applyNumberFormat="1" applyFont="1" applyFill="1" applyBorder="1" applyAlignment="1">
      <alignment vertical="center" wrapText="1"/>
    </xf>
    <xf numFmtId="166" fontId="2" fillId="2" borderId="6" xfId="1" applyNumberFormat="1" applyFont="1" applyFill="1" applyBorder="1" applyAlignment="1">
      <alignment vertical="center" wrapText="1"/>
    </xf>
    <xf numFmtId="166" fontId="2" fillId="2" borderId="8" xfId="1" applyNumberFormat="1" applyFont="1" applyFill="1" applyBorder="1" applyAlignment="1">
      <alignment vertical="center" wrapText="1"/>
    </xf>
    <xf numFmtId="166" fontId="2" fillId="2" borderId="10" xfId="1" applyNumberFormat="1" applyFont="1" applyFill="1" applyBorder="1" applyAlignment="1">
      <alignment vertical="center" wrapText="1"/>
    </xf>
    <xf numFmtId="9" fontId="0" fillId="0" borderId="0" xfId="2" applyFont="1"/>
    <xf numFmtId="164" fontId="7" fillId="0" borderId="0" xfId="1" applyNumberFormat="1" applyFont="1"/>
    <xf numFmtId="164" fontId="8" fillId="2" borderId="2" xfId="1" applyNumberFormat="1" applyFont="1" applyFill="1" applyBorder="1" applyAlignment="1">
      <alignment horizontal="center" vertical="center" wrapText="1"/>
    </xf>
    <xf numFmtId="165" fontId="7" fillId="0" borderId="0" xfId="1" applyNumberFormat="1" applyFont="1"/>
    <xf numFmtId="167" fontId="9" fillId="2" borderId="6" xfId="1" applyNumberFormat="1" applyFont="1" applyFill="1" applyBorder="1" applyAlignment="1">
      <alignment vertical="center" wrapText="1"/>
    </xf>
    <xf numFmtId="167" fontId="9" fillId="2" borderId="8" xfId="1" applyNumberFormat="1" applyFont="1" applyFill="1" applyBorder="1" applyAlignment="1">
      <alignment vertical="center" wrapText="1"/>
    </xf>
    <xf numFmtId="167" fontId="9" fillId="2" borderId="10" xfId="1" applyNumberFormat="1" applyFont="1" applyFill="1" applyBorder="1" applyAlignment="1">
      <alignment vertical="center" wrapText="1"/>
    </xf>
    <xf numFmtId="167" fontId="9" fillId="2" borderId="12" xfId="1" applyNumberFormat="1" applyFont="1" applyFill="1" applyBorder="1" applyAlignment="1">
      <alignment vertical="center" wrapText="1"/>
    </xf>
    <xf numFmtId="167" fontId="9" fillId="2" borderId="14" xfId="1" applyNumberFormat="1" applyFont="1" applyFill="1" applyBorder="1" applyAlignment="1">
      <alignment vertical="center" wrapText="1"/>
    </xf>
    <xf numFmtId="167" fontId="9" fillId="2" borderId="16" xfId="1" applyNumberFormat="1" applyFont="1" applyFill="1" applyBorder="1" applyAlignment="1">
      <alignment vertical="center" wrapText="1"/>
    </xf>
    <xf numFmtId="167" fontId="9" fillId="2" borderId="18" xfId="1" applyNumberFormat="1" applyFont="1" applyFill="1" applyBorder="1" applyAlignment="1">
      <alignment vertical="center" wrapText="1"/>
    </xf>
    <xf numFmtId="167" fontId="9" fillId="2" borderId="4" xfId="1" applyNumberFormat="1" applyFont="1" applyFill="1" applyBorder="1" applyAlignment="1">
      <alignment vertical="center" wrapText="1"/>
    </xf>
    <xf numFmtId="167" fontId="10" fillId="3" borderId="2" xfId="1" applyNumberFormat="1" applyFont="1" applyFill="1" applyBorder="1" applyAlignment="1">
      <alignment vertical="center" wrapText="1"/>
    </xf>
    <xf numFmtId="167" fontId="9" fillId="2" borderId="2" xfId="1" applyNumberFormat="1" applyFont="1" applyFill="1" applyBorder="1" applyAlignment="1">
      <alignment vertical="center" wrapText="1"/>
    </xf>
    <xf numFmtId="0" fontId="11" fillId="2" borderId="6" xfId="0" applyFont="1" applyFill="1" applyBorder="1" applyAlignment="1">
      <alignment vertical="center" wrapText="1"/>
    </xf>
    <xf numFmtId="165" fontId="2" fillId="2" borderId="19" xfId="1" applyNumberFormat="1" applyFont="1" applyFill="1" applyBorder="1" applyAlignment="1">
      <alignment horizontal="center" vertical="center" wrapText="1"/>
    </xf>
    <xf numFmtId="165" fontId="3" fillId="3" borderId="19" xfId="1" applyNumberFormat="1" applyFont="1" applyFill="1" applyBorder="1" applyAlignment="1">
      <alignment vertical="center" wrapText="1"/>
    </xf>
    <xf numFmtId="165" fontId="2" fillId="2" borderId="20" xfId="1" applyNumberFormat="1" applyFont="1" applyFill="1" applyBorder="1" applyAlignment="1">
      <alignment vertical="center" wrapText="1"/>
    </xf>
    <xf numFmtId="165" fontId="5" fillId="2" borderId="21" xfId="1" applyNumberFormat="1" applyFont="1" applyFill="1" applyBorder="1" applyAlignment="1">
      <alignment vertical="center" wrapText="1"/>
    </xf>
    <xf numFmtId="165" fontId="5" fillId="2" borderId="22" xfId="1" applyNumberFormat="1" applyFont="1" applyFill="1" applyBorder="1" applyAlignment="1">
      <alignment vertical="center" wrapText="1"/>
    </xf>
    <xf numFmtId="165" fontId="5" fillId="2" borderId="23" xfId="1" applyNumberFormat="1" applyFont="1" applyFill="1" applyBorder="1" applyAlignment="1">
      <alignment vertical="center" wrapText="1"/>
    </xf>
    <xf numFmtId="165" fontId="5" fillId="2" borderId="24" xfId="1" applyNumberFormat="1" applyFont="1" applyFill="1" applyBorder="1" applyAlignment="1">
      <alignment vertical="center" wrapText="1"/>
    </xf>
    <xf numFmtId="165" fontId="2" fillId="2" borderId="19" xfId="1" applyNumberFormat="1" applyFont="1" applyFill="1" applyBorder="1" applyAlignment="1">
      <alignment vertical="center" wrapText="1"/>
    </xf>
    <xf numFmtId="165" fontId="5" fillId="2" borderId="25" xfId="1" applyNumberFormat="1" applyFont="1" applyFill="1" applyBorder="1" applyAlignment="1">
      <alignment vertical="center" wrapText="1"/>
    </xf>
    <xf numFmtId="165" fontId="5" fillId="2" borderId="26" xfId="1" applyNumberFormat="1" applyFont="1" applyFill="1" applyBorder="1" applyAlignment="1">
      <alignment vertical="center" wrapText="1"/>
    </xf>
    <xf numFmtId="165" fontId="5" fillId="2" borderId="27" xfId="1" applyNumberFormat="1" applyFont="1" applyFill="1" applyBorder="1" applyAlignment="1">
      <alignment vertical="center" wrapText="1"/>
    </xf>
    <xf numFmtId="165" fontId="5" fillId="2" borderId="20" xfId="1" applyNumberFormat="1" applyFont="1" applyFill="1" applyBorder="1" applyAlignment="1">
      <alignment vertical="center" wrapText="1"/>
    </xf>
    <xf numFmtId="165" fontId="2" fillId="2" borderId="21" xfId="1" applyNumberFormat="1" applyFont="1" applyFill="1" applyBorder="1" applyAlignment="1">
      <alignment vertical="center" wrapText="1"/>
    </xf>
    <xf numFmtId="165" fontId="2" fillId="2" borderId="22" xfId="1" applyNumberFormat="1" applyFont="1" applyFill="1" applyBorder="1" applyAlignment="1">
      <alignment vertical="center" wrapText="1"/>
    </xf>
    <xf numFmtId="165" fontId="2" fillId="2" borderId="23" xfId="1" applyNumberFormat="1" applyFont="1" applyFill="1" applyBorder="1" applyAlignment="1">
      <alignment vertical="center" wrapText="1"/>
    </xf>
    <xf numFmtId="165" fontId="2" fillId="2" borderId="28" xfId="1" applyNumberFormat="1" applyFont="1" applyFill="1" applyBorder="1" applyAlignment="1">
      <alignment horizontal="center" vertical="center" wrapText="1"/>
    </xf>
    <xf numFmtId="165" fontId="3" fillId="3" borderId="28" xfId="1" applyNumberFormat="1" applyFont="1" applyFill="1" applyBorder="1" applyAlignment="1">
      <alignment vertical="center" wrapText="1"/>
    </xf>
    <xf numFmtId="165" fontId="2" fillId="2" borderId="29" xfId="1" applyNumberFormat="1" applyFont="1" applyFill="1" applyBorder="1" applyAlignment="1">
      <alignment vertical="center" wrapText="1"/>
    </xf>
    <xf numFmtId="165" fontId="5" fillId="2" borderId="30" xfId="1" applyNumberFormat="1" applyFont="1" applyFill="1" applyBorder="1" applyAlignment="1">
      <alignment vertical="center" wrapText="1"/>
    </xf>
    <xf numFmtId="165" fontId="5" fillId="2" borderId="31" xfId="1" applyNumberFormat="1" applyFont="1" applyFill="1" applyBorder="1" applyAlignment="1">
      <alignment vertical="center" wrapText="1"/>
    </xf>
    <xf numFmtId="165" fontId="5" fillId="2" borderId="32" xfId="1" applyNumberFormat="1" applyFont="1" applyFill="1" applyBorder="1" applyAlignment="1">
      <alignment vertical="center" wrapText="1"/>
    </xf>
    <xf numFmtId="165" fontId="5" fillId="2" borderId="33" xfId="1" applyNumberFormat="1" applyFont="1" applyFill="1" applyBorder="1" applyAlignment="1">
      <alignment vertical="center" wrapText="1"/>
    </xf>
    <xf numFmtId="165" fontId="2" fillId="2" borderId="28" xfId="1" applyNumberFormat="1" applyFont="1" applyFill="1" applyBorder="1" applyAlignment="1">
      <alignment vertical="center" wrapText="1"/>
    </xf>
    <xf numFmtId="165" fontId="5" fillId="2" borderId="34" xfId="1" applyNumberFormat="1" applyFont="1" applyFill="1" applyBorder="1" applyAlignment="1">
      <alignment vertical="center" wrapText="1"/>
    </xf>
    <xf numFmtId="165" fontId="5" fillId="2" borderId="35" xfId="1" applyNumberFormat="1" applyFont="1" applyFill="1" applyBorder="1" applyAlignment="1">
      <alignment vertical="center" wrapText="1"/>
    </xf>
    <xf numFmtId="165" fontId="5" fillId="2" borderId="36" xfId="1" applyNumberFormat="1" applyFont="1" applyFill="1" applyBorder="1" applyAlignment="1">
      <alignment vertical="center" wrapText="1"/>
    </xf>
    <xf numFmtId="165" fontId="2" fillId="2" borderId="30" xfId="1" applyNumberFormat="1" applyFont="1" applyFill="1" applyBorder="1" applyAlignment="1">
      <alignment vertical="center" wrapText="1"/>
    </xf>
    <xf numFmtId="165" fontId="2" fillId="2" borderId="31" xfId="1" applyNumberFormat="1" applyFont="1" applyFill="1" applyBorder="1" applyAlignment="1">
      <alignment vertical="center" wrapText="1"/>
    </xf>
    <xf numFmtId="165" fontId="2" fillId="2" borderId="32" xfId="1" applyNumberFormat="1" applyFont="1" applyFill="1" applyBorder="1" applyAlignment="1">
      <alignment vertical="center" wrapText="1"/>
    </xf>
    <xf numFmtId="165" fontId="12" fillId="0" borderId="0" xfId="1" applyNumberFormat="1" applyFont="1" applyFill="1"/>
    <xf numFmtId="0" fontId="13" fillId="4" borderId="0" xfId="0" applyFont="1" applyFill="1" applyAlignment="1">
      <alignment horizontal="center" vertical="center"/>
    </xf>
    <xf numFmtId="166" fontId="3" fillId="4" borderId="37" xfId="1" applyNumberFormat="1" applyFont="1" applyFill="1" applyBorder="1" applyAlignment="1">
      <alignment vertical="center" wrapText="1"/>
    </xf>
    <xf numFmtId="0" fontId="2" fillId="2" borderId="1" xfId="0" applyFont="1" applyFill="1" applyBorder="1" applyAlignment="1">
      <alignment vertical="center" wrapText="1"/>
    </xf>
    <xf numFmtId="167" fontId="9" fillId="2" borderId="28" xfId="1" applyNumberFormat="1" applyFont="1" applyFill="1" applyBorder="1" applyAlignment="1">
      <alignment vertical="center" wrapText="1"/>
    </xf>
    <xf numFmtId="165" fontId="17" fillId="0" borderId="0" xfId="1" applyNumberFormat="1" applyFont="1" applyFill="1"/>
    <xf numFmtId="0" fontId="18" fillId="0" borderId="0" xfId="0" applyFont="1"/>
    <xf numFmtId="43" fontId="18" fillId="0" borderId="0" xfId="0" applyNumberFormat="1" applyFont="1"/>
    <xf numFmtId="37" fontId="0" fillId="0" borderId="0" xfId="0" applyNumberFormat="1"/>
    <xf numFmtId="0" fontId="18" fillId="7" borderId="39" xfId="0" applyFont="1" applyFill="1" applyBorder="1" applyAlignment="1">
      <alignment vertical="center" wrapText="1"/>
    </xf>
    <xf numFmtId="37" fontId="19" fillId="7" borderId="40" xfId="1" applyNumberFormat="1" applyFont="1" applyFill="1" applyBorder="1" applyAlignment="1">
      <alignment horizontal="center" vertical="center"/>
    </xf>
    <xf numFmtId="2" fontId="20" fillId="7" borderId="40" xfId="1" applyNumberFormat="1" applyFont="1" applyFill="1" applyBorder="1" applyAlignment="1">
      <alignment horizontal="center" vertical="center"/>
    </xf>
    <xf numFmtId="37" fontId="18" fillId="7" borderId="40" xfId="1" applyNumberFormat="1" applyFont="1" applyFill="1" applyBorder="1" applyAlignment="1">
      <alignment horizontal="center" vertical="center"/>
    </xf>
    <xf numFmtId="37" fontId="20" fillId="7" borderId="40" xfId="1" applyNumberFormat="1" applyFont="1" applyFill="1" applyBorder="1" applyAlignment="1">
      <alignment horizontal="center" vertical="center"/>
    </xf>
    <xf numFmtId="0" fontId="18" fillId="7" borderId="40" xfId="0" applyFont="1" applyFill="1" applyBorder="1" applyAlignment="1">
      <alignment horizontal="center" vertical="center"/>
    </xf>
    <xf numFmtId="0" fontId="21" fillId="6" borderId="41" xfId="5" applyFont="1" applyFill="1" applyBorder="1" applyAlignment="1">
      <alignment horizontal="left" vertical="center"/>
    </xf>
    <xf numFmtId="0" fontId="18" fillId="7" borderId="42" xfId="0" applyFont="1" applyFill="1" applyBorder="1" applyAlignment="1">
      <alignment vertical="center" wrapText="1"/>
    </xf>
    <xf numFmtId="37" fontId="19" fillId="7" borderId="43" xfId="1" applyNumberFormat="1" applyFont="1" applyFill="1" applyBorder="1" applyAlignment="1">
      <alignment horizontal="center" vertical="center"/>
    </xf>
    <xf numFmtId="2" fontId="20" fillId="7" borderId="43" xfId="1" applyNumberFormat="1" applyFont="1" applyFill="1" applyBorder="1" applyAlignment="1">
      <alignment horizontal="center" vertical="center"/>
    </xf>
    <xf numFmtId="37" fontId="18" fillId="7" borderId="43" xfId="1" applyNumberFormat="1" applyFont="1" applyFill="1" applyBorder="1" applyAlignment="1">
      <alignment horizontal="center" vertical="center"/>
    </xf>
    <xf numFmtId="37" fontId="20" fillId="7" borderId="43" xfId="1" applyNumberFormat="1" applyFont="1" applyFill="1" applyBorder="1" applyAlignment="1">
      <alignment horizontal="center" vertical="center"/>
    </xf>
    <xf numFmtId="0" fontId="18" fillId="7" borderId="43" xfId="0" applyFont="1" applyFill="1" applyBorder="1" applyAlignment="1">
      <alignment horizontal="center" vertical="center"/>
    </xf>
    <xf numFmtId="0" fontId="21" fillId="6" borderId="44" xfId="5" applyFont="1" applyFill="1" applyBorder="1" applyAlignment="1">
      <alignment horizontal="left" vertical="center"/>
    </xf>
    <xf numFmtId="0" fontId="21" fillId="6" borderId="44" xfId="5" applyFont="1" applyFill="1" applyBorder="1" applyAlignment="1">
      <alignment horizontal="left" vertical="center" wrapText="1"/>
    </xf>
    <xf numFmtId="0" fontId="21" fillId="8" borderId="45" xfId="3" applyFont="1" applyFill="1" applyBorder="1" applyAlignment="1">
      <alignment vertical="center" wrapText="1"/>
    </xf>
    <xf numFmtId="0" fontId="19" fillId="8" borderId="46" xfId="3" applyFont="1" applyFill="1" applyBorder="1" applyAlignment="1">
      <alignment horizontal="center" vertical="center" wrapText="1"/>
    </xf>
    <xf numFmtId="0" fontId="21" fillId="8" borderId="46" xfId="3" applyFont="1" applyFill="1" applyBorder="1" applyAlignment="1">
      <alignment horizontal="center" vertical="center" wrapText="1"/>
    </xf>
    <xf numFmtId="37" fontId="21" fillId="8" borderId="46" xfId="3" applyNumberFormat="1" applyFont="1" applyFill="1" applyBorder="1" applyAlignment="1">
      <alignment horizontal="center" vertical="center" wrapText="1"/>
    </xf>
    <xf numFmtId="0" fontId="21" fillId="8" borderId="47" xfId="3" applyFont="1" applyFill="1" applyBorder="1" applyAlignment="1">
      <alignment vertical="center" wrapText="1"/>
    </xf>
    <xf numFmtId="37" fontId="22" fillId="0" borderId="46" xfId="0" applyNumberFormat="1" applyFont="1" applyBorder="1" applyAlignment="1">
      <alignment horizontal="center" vertical="center"/>
    </xf>
    <xf numFmtId="0" fontId="22" fillId="0" borderId="46" xfId="0" applyFont="1" applyBorder="1" applyAlignment="1">
      <alignment horizontal="right" vertical="center"/>
    </xf>
    <xf numFmtId="43" fontId="0" fillId="0" borderId="0" xfId="0" applyNumberFormat="1"/>
    <xf numFmtId="0" fontId="23" fillId="4" borderId="0" xfId="0" applyFont="1" applyFill="1"/>
    <xf numFmtId="0" fontId="19" fillId="4" borderId="48" xfId="0" applyFont="1" applyFill="1" applyBorder="1" applyAlignment="1">
      <alignment horizontal="center" vertical="center"/>
    </xf>
    <xf numFmtId="0" fontId="20" fillId="4" borderId="49" xfId="0" applyFont="1" applyFill="1" applyBorder="1" applyAlignment="1">
      <alignment vertical="center"/>
    </xf>
    <xf numFmtId="0" fontId="24" fillId="0" borderId="50" xfId="0" applyFont="1" applyBorder="1" applyAlignment="1">
      <alignment horizontal="center"/>
    </xf>
    <xf numFmtId="0" fontId="24" fillId="0" borderId="51" xfId="0" applyFont="1" applyBorder="1" applyAlignment="1">
      <alignment horizontal="center"/>
    </xf>
    <xf numFmtId="0" fontId="25" fillId="0" borderId="52" xfId="0" applyFont="1" applyBorder="1" applyAlignment="1">
      <alignment horizontal="left"/>
    </xf>
    <xf numFmtId="0" fontId="21" fillId="0" borderId="45" xfId="4" applyFont="1" applyBorder="1" applyAlignment="1">
      <alignment horizontal="center"/>
    </xf>
    <xf numFmtId="0" fontId="21" fillId="0" borderId="46" xfId="4" applyFont="1" applyBorder="1" applyAlignment="1">
      <alignment horizontal="center"/>
    </xf>
    <xf numFmtId="0" fontId="21" fillId="0" borderId="47" xfId="4" applyFont="1" applyBorder="1"/>
    <xf numFmtId="0" fontId="18" fillId="0" borderId="53" xfId="0" applyFont="1" applyBorder="1"/>
    <xf numFmtId="0" fontId="18" fillId="0" borderId="0" xfId="0" applyFont="1" applyBorder="1"/>
    <xf numFmtId="0" fontId="18" fillId="0" borderId="54" xfId="0" applyFont="1" applyBorder="1"/>
    <xf numFmtId="3" fontId="24" fillId="0" borderId="55" xfId="0" applyNumberFormat="1" applyFont="1" applyBorder="1" applyAlignment="1">
      <alignment horizontal="center"/>
    </xf>
    <xf numFmtId="3" fontId="24" fillId="0" borderId="53" xfId="0" applyNumberFormat="1" applyFont="1" applyBorder="1" applyAlignment="1">
      <alignment horizontal="center"/>
    </xf>
    <xf numFmtId="0" fontId="18" fillId="0" borderId="56" xfId="0" applyFont="1" applyBorder="1"/>
    <xf numFmtId="0" fontId="21" fillId="0" borderId="55" xfId="4" applyFont="1" applyBorder="1" applyAlignment="1">
      <alignment horizontal="center" vertical="center" wrapText="1"/>
    </xf>
    <xf numFmtId="0" fontId="21" fillId="0" borderId="53" xfId="4" applyFont="1" applyBorder="1" applyAlignment="1">
      <alignment horizontal="center" vertical="center"/>
    </xf>
    <xf numFmtId="0" fontId="21" fillId="0" borderId="56" xfId="4" applyFont="1" applyBorder="1" applyAlignment="1">
      <alignment wrapText="1"/>
    </xf>
    <xf numFmtId="0" fontId="26" fillId="0" borderId="0" xfId="6" applyFont="1"/>
    <xf numFmtId="44" fontId="27" fillId="0" borderId="57" xfId="0" applyNumberFormat="1" applyFont="1" applyFill="1" applyBorder="1" applyAlignment="1" applyProtection="1">
      <alignment horizontal="left" vertical="top" indent="2" readingOrder="1"/>
      <protection hidden="1"/>
    </xf>
    <xf numFmtId="0" fontId="28" fillId="0" borderId="58" xfId="0" applyFont="1" applyBorder="1" applyAlignment="1">
      <alignment vertical="center" wrapText="1"/>
    </xf>
    <xf numFmtId="44" fontId="28" fillId="0" borderId="58" xfId="7" applyFont="1" applyBorder="1" applyAlignment="1">
      <alignment vertical="center" wrapText="1"/>
    </xf>
    <xf numFmtId="0" fontId="29" fillId="0" borderId="58" xfId="0" applyFont="1" applyBorder="1" applyAlignment="1">
      <alignment horizontal="left" vertical="center" wrapText="1"/>
    </xf>
    <xf numFmtId="0" fontId="28" fillId="0" borderId="58" xfId="0" applyFont="1" applyBorder="1" applyAlignment="1">
      <alignment horizontal="left" vertical="center" wrapText="1"/>
    </xf>
    <xf numFmtId="168" fontId="28" fillId="0" borderId="58" xfId="1" applyNumberFormat="1" applyFont="1" applyBorder="1" applyAlignment="1">
      <alignment vertical="center" wrapText="1"/>
    </xf>
    <xf numFmtId="0" fontId="29" fillId="0" borderId="58" xfId="0" applyFont="1" applyBorder="1" applyAlignment="1">
      <alignment vertical="center" wrapText="1"/>
    </xf>
    <xf numFmtId="0" fontId="29" fillId="0" borderId="58" xfId="0" applyFont="1" applyBorder="1" applyAlignment="1">
      <alignment horizontal="left" vertical="center" wrapText="1" indent="5"/>
    </xf>
    <xf numFmtId="0" fontId="32" fillId="0" borderId="0" xfId="0" applyFont="1" applyAlignment="1">
      <alignment vertical="top"/>
    </xf>
    <xf numFmtId="0" fontId="32" fillId="0" borderId="0" xfId="0" applyFont="1" applyAlignment="1">
      <alignment horizontal="center" vertical="top"/>
    </xf>
    <xf numFmtId="0" fontId="32" fillId="0" borderId="0" xfId="0" applyFont="1" applyAlignment="1">
      <alignment vertical="top" wrapText="1"/>
    </xf>
    <xf numFmtId="0" fontId="33" fillId="0" borderId="0" xfId="0" applyFont="1" applyAlignment="1">
      <alignment vertical="top" wrapText="1"/>
    </xf>
    <xf numFmtId="0" fontId="34" fillId="0" borderId="0" xfId="0" applyFont="1" applyAlignment="1">
      <alignment horizontal="center" vertical="top"/>
    </xf>
    <xf numFmtId="43" fontId="32" fillId="0" borderId="0" xfId="1" applyFont="1" applyAlignment="1">
      <alignment vertical="top"/>
    </xf>
    <xf numFmtId="0" fontId="32" fillId="0" borderId="59" xfId="0" applyFont="1" applyBorder="1" applyAlignment="1">
      <alignment vertical="top"/>
    </xf>
    <xf numFmtId="3" fontId="32" fillId="0" borderId="59" xfId="0" applyNumberFormat="1" applyFont="1" applyBorder="1" applyAlignment="1">
      <alignment vertical="top"/>
    </xf>
    <xf numFmtId="0" fontId="32" fillId="0" borderId="59" xfId="0" applyFont="1" applyBorder="1" applyAlignment="1">
      <alignment horizontal="center" vertical="top"/>
    </xf>
    <xf numFmtId="0" fontId="32" fillId="0" borderId="59" xfId="0" applyFont="1" applyBorder="1" applyAlignment="1">
      <alignment vertical="top" wrapText="1"/>
    </xf>
    <xf numFmtId="0" fontId="33" fillId="0" borderId="59" xfId="0" applyFont="1" applyBorder="1" applyAlignment="1">
      <alignment vertical="top" wrapText="1"/>
    </xf>
    <xf numFmtId="0" fontId="34" fillId="0" borderId="60" xfId="0" applyFont="1" applyBorder="1" applyAlignment="1">
      <alignment horizontal="center" vertical="top"/>
    </xf>
    <xf numFmtId="0" fontId="0" fillId="9" borderId="0" xfId="0" applyFill="1"/>
    <xf numFmtId="0" fontId="35" fillId="9" borderId="43" xfId="0" applyFont="1" applyFill="1" applyBorder="1" applyAlignment="1">
      <alignment vertical="top" wrapText="1"/>
    </xf>
    <xf numFmtId="44" fontId="29" fillId="9" borderId="58" xfId="0" applyNumberFormat="1" applyFont="1" applyFill="1" applyBorder="1" applyAlignment="1">
      <alignment horizontal="right" vertical="top"/>
    </xf>
    <xf numFmtId="0" fontId="32" fillId="0" borderId="58" xfId="0" applyFont="1" applyBorder="1" applyAlignment="1">
      <alignment vertical="top"/>
    </xf>
    <xf numFmtId="0" fontId="32" fillId="0" borderId="58" xfId="0" applyFont="1" applyBorder="1" applyAlignment="1">
      <alignment horizontal="center" vertical="top"/>
    </xf>
    <xf numFmtId="0" fontId="32" fillId="0" borderId="58" xfId="0" applyFont="1" applyBorder="1" applyAlignment="1">
      <alignment vertical="top" wrapText="1"/>
    </xf>
    <xf numFmtId="0" fontId="33" fillId="0" borderId="58" xfId="0" applyFont="1" applyBorder="1" applyAlignment="1">
      <alignment vertical="top" wrapText="1"/>
    </xf>
    <xf numFmtId="0" fontId="34" fillId="0" borderId="62" xfId="0" applyFont="1" applyBorder="1" applyAlignment="1">
      <alignment horizontal="center" vertical="top"/>
    </xf>
    <xf numFmtId="0" fontId="32" fillId="0" borderId="63" xfId="0" applyFont="1" applyBorder="1" applyAlignment="1">
      <alignment vertical="top"/>
    </xf>
    <xf numFmtId="44" fontId="32" fillId="0" borderId="58" xfId="7" applyFont="1" applyBorder="1" applyAlignment="1">
      <alignment vertical="top"/>
    </xf>
    <xf numFmtId="0" fontId="32" fillId="0" borderId="64" xfId="0" applyFont="1" applyBorder="1" applyAlignment="1">
      <alignment horizontal="left" vertical="top" wrapText="1"/>
    </xf>
    <xf numFmtId="0" fontId="33" fillId="0" borderId="64" xfId="0" applyFont="1" applyBorder="1" applyAlignment="1">
      <alignment vertical="top" wrapText="1"/>
    </xf>
    <xf numFmtId="0" fontId="34" fillId="0" borderId="65" xfId="0" applyFont="1" applyBorder="1" applyAlignment="1">
      <alignment horizontal="center" vertical="top"/>
    </xf>
    <xf numFmtId="0" fontId="32" fillId="0" borderId="58" xfId="0" applyFont="1" applyBorder="1" applyAlignment="1">
      <alignment horizontal="left" vertical="top" wrapText="1"/>
    </xf>
    <xf numFmtId="0" fontId="9" fillId="0" borderId="58" xfId="0" applyFont="1" applyBorder="1" applyAlignment="1">
      <alignment vertical="top"/>
    </xf>
    <xf numFmtId="0" fontId="36" fillId="0" borderId="58" xfId="0" applyFont="1" applyBorder="1" applyAlignment="1">
      <alignment horizontal="left" vertical="top"/>
    </xf>
    <xf numFmtId="0" fontId="36" fillId="0" borderId="58" xfId="0" applyFont="1" applyFill="1" applyBorder="1" applyAlignment="1">
      <alignment vertical="top" wrapText="1"/>
    </xf>
    <xf numFmtId="43" fontId="32" fillId="0" borderId="58" xfId="1" applyFont="1" applyBorder="1" applyAlignment="1">
      <alignment vertical="top"/>
    </xf>
    <xf numFmtId="0" fontId="32" fillId="0" borderId="58" xfId="0" applyFont="1" applyBorder="1" applyAlignment="1">
      <alignment horizontal="left" vertical="top"/>
    </xf>
    <xf numFmtId="0" fontId="9" fillId="0" borderId="58" xfId="0" applyFont="1" applyBorder="1" applyAlignment="1">
      <alignment vertical="top" wrapText="1"/>
    </xf>
    <xf numFmtId="0" fontId="36" fillId="0" borderId="58" xfId="0" applyFont="1" applyBorder="1" applyAlignment="1">
      <alignment horizontal="justify" vertical="top"/>
    </xf>
    <xf numFmtId="0" fontId="37" fillId="0" borderId="58" xfId="0" applyFont="1" applyBorder="1" applyAlignment="1">
      <alignment vertical="top" wrapText="1"/>
    </xf>
    <xf numFmtId="0" fontId="32" fillId="0" borderId="0" xfId="0" applyFont="1" applyBorder="1" applyAlignment="1">
      <alignment vertical="top" wrapText="1"/>
    </xf>
    <xf numFmtId="44" fontId="28" fillId="9" borderId="0" xfId="0" applyNumberFormat="1" applyFont="1" applyFill="1"/>
    <xf numFmtId="0" fontId="36" fillId="0" borderId="58" xfId="0" applyFont="1" applyBorder="1" applyAlignment="1">
      <alignment vertical="top" wrapText="1"/>
    </xf>
    <xf numFmtId="0" fontId="32" fillId="0" borderId="58" xfId="0" applyFont="1" applyFill="1" applyBorder="1" applyAlignment="1">
      <alignment vertical="top" wrapText="1"/>
    </xf>
    <xf numFmtId="0" fontId="35" fillId="9" borderId="48" xfId="0" applyFont="1" applyFill="1" applyBorder="1" applyAlignment="1">
      <alignment vertical="top" wrapText="1"/>
    </xf>
    <xf numFmtId="0" fontId="33" fillId="0" borderId="58" xfId="0" applyFont="1" applyFill="1" applyBorder="1" applyAlignment="1">
      <alignment vertical="top" wrapText="1"/>
    </xf>
    <xf numFmtId="0" fontId="34" fillId="0" borderId="62" xfId="0" applyFont="1" applyFill="1" applyBorder="1" applyAlignment="1">
      <alignment horizontal="center" vertical="top"/>
    </xf>
    <xf numFmtId="0" fontId="9" fillId="0" borderId="58" xfId="0" applyFont="1" applyFill="1" applyBorder="1" applyAlignment="1">
      <alignment vertical="top" wrapText="1"/>
    </xf>
    <xf numFmtId="0" fontId="33" fillId="0" borderId="58" xfId="0" applyFont="1" applyFill="1" applyBorder="1" applyAlignment="1">
      <alignment horizontal="left" vertical="top" wrapText="1"/>
    </xf>
    <xf numFmtId="0" fontId="32" fillId="0" borderId="0" xfId="0" applyFont="1" applyBorder="1" applyAlignment="1">
      <alignment vertical="top"/>
    </xf>
    <xf numFmtId="44" fontId="28" fillId="9" borderId="58" xfId="0" applyNumberFormat="1" applyFont="1" applyFill="1" applyBorder="1" applyAlignment="1">
      <alignment horizontal="right" vertical="top"/>
    </xf>
    <xf numFmtId="0" fontId="40" fillId="10" borderId="68" xfId="0" applyFont="1" applyFill="1" applyBorder="1" applyAlignment="1">
      <alignment horizontal="center" vertical="top"/>
    </xf>
    <xf numFmtId="0" fontId="40" fillId="10" borderId="68" xfId="0" applyFont="1" applyFill="1" applyBorder="1" applyAlignment="1">
      <alignment horizontal="center" vertical="top" wrapText="1"/>
    </xf>
    <xf numFmtId="0" fontId="42" fillId="10" borderId="68" xfId="0" applyFont="1" applyFill="1" applyBorder="1" applyAlignment="1">
      <alignment horizontal="center" vertical="top" wrapText="1"/>
    </xf>
    <xf numFmtId="0" fontId="34" fillId="0" borderId="69" xfId="0" applyFont="1" applyBorder="1" applyAlignment="1">
      <alignment horizontal="center" vertical="top"/>
    </xf>
    <xf numFmtId="0" fontId="0" fillId="11" borderId="58" xfId="0" applyFill="1" applyBorder="1"/>
    <xf numFmtId="0" fontId="0" fillId="11" borderId="58" xfId="0" applyFill="1" applyBorder="1" applyAlignment="1">
      <alignment horizontal="center" vertical="center"/>
    </xf>
    <xf numFmtId="0" fontId="43" fillId="0" borderId="58" xfId="0" applyFont="1" applyBorder="1" applyAlignment="1">
      <alignment horizontal="left" vertical="center" wrapText="1" indent="5"/>
    </xf>
    <xf numFmtId="0" fontId="0" fillId="0" borderId="58" xfId="0" applyBorder="1"/>
    <xf numFmtId="0" fontId="44" fillId="10" borderId="64" xfId="0" applyFont="1" applyFill="1" applyBorder="1" applyAlignment="1">
      <alignment horizontal="center" vertical="center" wrapText="1"/>
    </xf>
    <xf numFmtId="0" fontId="45" fillId="12" borderId="58" xfId="0" applyFont="1" applyFill="1" applyBorder="1" applyAlignment="1">
      <alignment horizontal="center" vertical="center" wrapText="1"/>
    </xf>
    <xf numFmtId="0" fontId="44" fillId="0" borderId="58" xfId="0" applyFont="1" applyBorder="1" applyAlignment="1">
      <alignment wrapText="1"/>
    </xf>
    <xf numFmtId="43" fontId="0" fillId="0" borderId="58" xfId="1" applyFont="1" applyBorder="1" applyAlignment="1">
      <alignment vertical="center"/>
    </xf>
    <xf numFmtId="43" fontId="0" fillId="0" borderId="58" xfId="0" applyNumberFormat="1" applyBorder="1" applyAlignment="1">
      <alignment horizontal="center" vertical="center"/>
    </xf>
    <xf numFmtId="0" fontId="43" fillId="11" borderId="58" xfId="0" applyFont="1" applyFill="1" applyBorder="1" applyAlignment="1">
      <alignment horizontal="left" vertical="center" wrapText="1" indent="5"/>
    </xf>
    <xf numFmtId="44" fontId="36" fillId="0" borderId="64" xfId="7" applyFont="1" applyBorder="1" applyAlignment="1">
      <alignment horizontal="center" vertical="top"/>
    </xf>
    <xf numFmtId="44" fontId="36" fillId="0" borderId="67" xfId="7" applyFont="1" applyBorder="1" applyAlignment="1">
      <alignment horizontal="center" vertical="top"/>
    </xf>
    <xf numFmtId="44" fontId="36" fillId="0" borderId="66" xfId="7" applyFont="1" applyBorder="1" applyAlignment="1">
      <alignment horizontal="center" vertical="top"/>
    </xf>
    <xf numFmtId="0" fontId="35" fillId="9" borderId="61" xfId="0" applyFont="1" applyFill="1" applyBorder="1" applyAlignment="1">
      <alignment horizontal="center" vertical="top" wrapText="1"/>
    </xf>
    <xf numFmtId="0" fontId="35" fillId="9" borderId="43" xfId="0" applyFont="1" applyFill="1" applyBorder="1" applyAlignment="1">
      <alignment horizontal="center" vertical="top" wrapText="1"/>
    </xf>
    <xf numFmtId="44" fontId="32" fillId="0" borderId="64" xfId="7" applyFont="1" applyBorder="1" applyAlignment="1">
      <alignment horizontal="center" vertical="top"/>
    </xf>
    <xf numFmtId="44" fontId="32" fillId="0" borderId="67" xfId="7" applyFont="1" applyBorder="1" applyAlignment="1">
      <alignment horizontal="center" vertical="top"/>
    </xf>
    <xf numFmtId="44" fontId="32" fillId="0" borderId="66" xfId="7" applyFont="1" applyBorder="1" applyAlignment="1">
      <alignment horizontal="center" vertical="top"/>
    </xf>
    <xf numFmtId="0" fontId="32" fillId="0" borderId="64" xfId="0" applyFont="1" applyBorder="1" applyAlignment="1">
      <alignment horizontal="left" vertical="top" wrapText="1"/>
    </xf>
    <xf numFmtId="0" fontId="32" fillId="0" borderId="67" xfId="0" applyFont="1" applyBorder="1" applyAlignment="1">
      <alignment horizontal="left" vertical="top" wrapText="1"/>
    </xf>
    <xf numFmtId="0" fontId="32" fillId="0" borderId="66" xfId="0" applyFont="1" applyBorder="1" applyAlignment="1">
      <alignment horizontal="left" vertical="top" wrapText="1"/>
    </xf>
    <xf numFmtId="0" fontId="35" fillId="9" borderId="61" xfId="0" applyFont="1" applyFill="1" applyBorder="1" applyAlignment="1">
      <alignment horizontal="left" vertical="top" wrapText="1"/>
    </xf>
    <xf numFmtId="0" fontId="35" fillId="9" borderId="43" xfId="0" applyFont="1" applyFill="1" applyBorder="1" applyAlignment="1">
      <alignment horizontal="left" vertical="top" wrapText="1"/>
    </xf>
    <xf numFmtId="0" fontId="36" fillId="0" borderId="64" xfId="0" applyFont="1" applyBorder="1" applyAlignment="1">
      <alignment horizontal="center" vertical="top" wrapText="1"/>
    </xf>
    <xf numFmtId="0" fontId="36" fillId="0" borderId="67" xfId="0" applyFont="1" applyBorder="1" applyAlignment="1">
      <alignment horizontal="center" vertical="top"/>
    </xf>
    <xf numFmtId="0" fontId="36" fillId="0" borderId="66" xfId="0" applyFont="1" applyBorder="1" applyAlignment="1">
      <alignment horizontal="center" vertical="top"/>
    </xf>
    <xf numFmtId="0" fontId="0" fillId="0" borderId="58" xfId="0" applyBorder="1" applyAlignment="1">
      <alignment vertical="center"/>
    </xf>
    <xf numFmtId="37" fontId="0" fillId="12" borderId="58" xfId="0" applyNumberFormat="1" applyFont="1" applyFill="1" applyBorder="1" applyAlignment="1">
      <alignment horizontal="center" vertical="center"/>
    </xf>
    <xf numFmtId="37" fontId="0" fillId="0" borderId="58" xfId="0" applyNumberFormat="1" applyFont="1" applyFill="1" applyBorder="1" applyAlignment="1">
      <alignment horizontal="center" vertical="center"/>
    </xf>
    <xf numFmtId="0" fontId="0" fillId="0" borderId="58" xfId="0" applyFont="1" applyBorder="1"/>
    <xf numFmtId="0" fontId="0" fillId="0" borderId="58" xfId="0" applyFont="1" applyBorder="1" applyAlignment="1">
      <alignment horizontal="center"/>
    </xf>
    <xf numFmtId="0" fontId="0" fillId="0" borderId="58" xfId="0" applyFont="1" applyBorder="1" applyAlignment="1">
      <alignment horizontal="center" vertical="center"/>
    </xf>
    <xf numFmtId="166" fontId="0" fillId="0" borderId="58" xfId="0" applyNumberFormat="1" applyFont="1" applyBorder="1" applyAlignment="1">
      <alignment vertical="center"/>
    </xf>
    <xf numFmtId="0" fontId="0" fillId="0" borderId="58" xfId="0" applyFont="1" applyBorder="1" applyAlignment="1">
      <alignment horizontal="left" vertical="center" wrapText="1"/>
    </xf>
    <xf numFmtId="0" fontId="0" fillId="0" borderId="58" xfId="0" applyFont="1" applyBorder="1" applyAlignment="1">
      <alignment horizontal="center" vertical="center"/>
    </xf>
    <xf numFmtId="0" fontId="0" fillId="0" borderId="58" xfId="0" applyFont="1" applyBorder="1" applyAlignment="1">
      <alignment vertical="center"/>
    </xf>
    <xf numFmtId="0" fontId="0" fillId="0" borderId="58" xfId="0" applyFont="1" applyBorder="1" applyAlignment="1">
      <alignment wrapText="1"/>
    </xf>
    <xf numFmtId="166" fontId="0" fillId="0" borderId="58" xfId="0" applyNumberFormat="1" applyFont="1" applyBorder="1"/>
    <xf numFmtId="0" fontId="45" fillId="10" borderId="64" xfId="0" applyFont="1" applyFill="1" applyBorder="1" applyAlignment="1">
      <alignment horizontal="center" vertical="center" wrapText="1"/>
    </xf>
    <xf numFmtId="0" fontId="44" fillId="10" borderId="70" xfId="0" applyFont="1" applyFill="1" applyBorder="1" applyAlignment="1">
      <alignment horizontal="left" vertical="center" wrapText="1"/>
    </xf>
    <xf numFmtId="0" fontId="45" fillId="12" borderId="64" xfId="0" applyFont="1" applyFill="1" applyBorder="1" applyAlignment="1">
      <alignment horizontal="center" vertical="center" wrapText="1"/>
    </xf>
    <xf numFmtId="0" fontId="45" fillId="12" borderId="58" xfId="0" applyFont="1" applyFill="1" applyBorder="1" applyAlignment="1">
      <alignment horizontal="left" vertical="center" wrapText="1"/>
    </xf>
    <xf numFmtId="0" fontId="44" fillId="0" borderId="58" xfId="0" applyFont="1" applyFill="1" applyBorder="1" applyAlignment="1">
      <alignment horizontal="left" vertical="center" wrapText="1"/>
    </xf>
    <xf numFmtId="37" fontId="45" fillId="12" borderId="58" xfId="0" applyNumberFormat="1" applyFont="1" applyFill="1" applyBorder="1" applyAlignment="1">
      <alignment horizontal="left" vertical="center"/>
    </xf>
    <xf numFmtId="44" fontId="0" fillId="0" borderId="58" xfId="7" applyFont="1" applyBorder="1" applyAlignment="1">
      <alignment vertical="center" wrapText="1"/>
    </xf>
    <xf numFmtId="0" fontId="0" fillId="0" borderId="58" xfId="0" applyFont="1" applyBorder="1" applyAlignment="1">
      <alignment vertical="center" wrapText="1"/>
    </xf>
    <xf numFmtId="166" fontId="48" fillId="2" borderId="58" xfId="1" applyNumberFormat="1" applyFont="1" applyFill="1" applyBorder="1" applyAlignment="1">
      <alignment vertical="center" wrapText="1"/>
    </xf>
    <xf numFmtId="0" fontId="44" fillId="0" borderId="58" xfId="0" applyFont="1" applyBorder="1" applyAlignment="1">
      <alignment horizontal="left" vertical="center" wrapText="1"/>
    </xf>
    <xf numFmtId="44" fontId="44" fillId="0" borderId="58" xfId="7" applyFont="1" applyBorder="1" applyAlignment="1">
      <alignment vertical="center" wrapText="1"/>
    </xf>
    <xf numFmtId="0" fontId="44" fillId="0" borderId="58" xfId="0" applyFont="1" applyBorder="1" applyAlignment="1">
      <alignment vertical="center" wrapText="1"/>
    </xf>
    <xf numFmtId="0" fontId="44" fillId="12" borderId="58" xfId="0" applyFont="1" applyFill="1" applyBorder="1" applyAlignment="1">
      <alignment horizontal="left" vertical="center" wrapText="1"/>
    </xf>
    <xf numFmtId="0" fontId="45" fillId="12" borderId="49" xfId="0" applyFont="1" applyFill="1" applyBorder="1" applyAlignment="1">
      <alignment horizontal="left" vertical="center"/>
    </xf>
    <xf numFmtId="0" fontId="45" fillId="12" borderId="43" xfId="0" applyFont="1" applyFill="1" applyBorder="1" applyAlignment="1">
      <alignment horizontal="left" vertical="center"/>
    </xf>
    <xf numFmtId="0" fontId="45" fillId="12" borderId="48" xfId="0" applyFont="1" applyFill="1" applyBorder="1" applyAlignment="1">
      <alignment horizontal="left" vertical="center"/>
    </xf>
    <xf numFmtId="0" fontId="45" fillId="12" borderId="49" xfId="0" applyFont="1" applyFill="1" applyBorder="1" applyAlignment="1">
      <alignment horizontal="left" vertical="center" wrapText="1"/>
    </xf>
    <xf numFmtId="0" fontId="45" fillId="12" borderId="43" xfId="0" applyFont="1" applyFill="1" applyBorder="1" applyAlignment="1">
      <alignment horizontal="left" vertical="center" wrapText="1"/>
    </xf>
    <xf numFmtId="0" fontId="45" fillId="12" borderId="48" xfId="0" applyFont="1" applyFill="1" applyBorder="1" applyAlignment="1">
      <alignment horizontal="left" vertical="center" wrapText="1"/>
    </xf>
    <xf numFmtId="0" fontId="0" fillId="12" borderId="58" xfId="0" applyFont="1" applyFill="1" applyBorder="1"/>
    <xf numFmtId="168" fontId="0" fillId="0" borderId="58" xfId="0" applyNumberFormat="1" applyFont="1" applyBorder="1"/>
    <xf numFmtId="168" fontId="0" fillId="12" borderId="58" xfId="0" applyNumberFormat="1" applyFont="1" applyFill="1" applyBorder="1" applyAlignment="1">
      <alignment horizontal="center" vertical="center"/>
    </xf>
    <xf numFmtId="168" fontId="0" fillId="0" borderId="58" xfId="0" applyNumberFormat="1" applyFont="1" applyFill="1" applyBorder="1" applyAlignment="1">
      <alignment horizontal="center" vertical="center"/>
    </xf>
    <xf numFmtId="168" fontId="45" fillId="12" borderId="58" xfId="0" applyNumberFormat="1" applyFont="1" applyFill="1" applyBorder="1" applyAlignment="1">
      <alignment horizontal="left" vertical="center" wrapText="1"/>
    </xf>
    <xf numFmtId="0" fontId="13" fillId="4" borderId="49" xfId="0" applyFont="1" applyFill="1" applyBorder="1" applyAlignment="1">
      <alignment horizontal="center" vertical="center"/>
    </xf>
    <xf numFmtId="0" fontId="13" fillId="4" borderId="43" xfId="0" applyFont="1" applyFill="1" applyBorder="1" applyAlignment="1">
      <alignment horizontal="center" vertical="center"/>
    </xf>
    <xf numFmtId="0" fontId="13" fillId="4" borderId="48" xfId="0" applyFont="1" applyFill="1" applyBorder="1" applyAlignment="1">
      <alignment horizontal="center" vertical="center"/>
    </xf>
    <xf numFmtId="168" fontId="13" fillId="4" borderId="58" xfId="0" applyNumberFormat="1" applyFont="1" applyFill="1" applyBorder="1" applyAlignment="1">
      <alignment horizontal="center" vertical="center" wrapText="1"/>
    </xf>
    <xf numFmtId="0" fontId="0" fillId="0" borderId="58" xfId="0" applyBorder="1" applyAlignment="1">
      <alignment horizontal="left" vertical="center"/>
    </xf>
    <xf numFmtId="44" fontId="0" fillId="0" borderId="58" xfId="7" applyFont="1" applyBorder="1" applyAlignment="1">
      <alignment horizontal="center" vertical="center"/>
    </xf>
    <xf numFmtId="0" fontId="43" fillId="0" borderId="58" xfId="0" applyFont="1" applyBorder="1" applyAlignment="1">
      <alignment horizontal="left" vertical="center" wrapText="1"/>
    </xf>
    <xf numFmtId="166" fontId="49" fillId="4" borderId="58" xfId="1" applyNumberFormat="1" applyFont="1" applyFill="1" applyBorder="1" applyAlignment="1">
      <alignment vertical="center" wrapText="1"/>
    </xf>
    <xf numFmtId="44" fontId="48" fillId="2" borderId="58" xfId="7" applyFont="1" applyFill="1" applyBorder="1" applyAlignment="1">
      <alignment vertical="center" wrapText="1"/>
    </xf>
    <xf numFmtId="44" fontId="45" fillId="12" borderId="58" xfId="0" applyNumberFormat="1" applyFont="1" applyFill="1" applyBorder="1" applyAlignment="1">
      <alignment horizontal="left" vertical="center" wrapText="1"/>
    </xf>
    <xf numFmtId="0" fontId="44" fillId="10" borderId="64" xfId="0" applyFont="1" applyFill="1" applyBorder="1" applyAlignment="1">
      <alignment vertical="center" wrapText="1"/>
    </xf>
    <xf numFmtId="37" fontId="0" fillId="12" borderId="58" xfId="0" applyNumberFormat="1" applyFont="1" applyFill="1" applyBorder="1" applyAlignment="1">
      <alignment vertical="center"/>
    </xf>
    <xf numFmtId="0" fontId="45" fillId="12" borderId="58" xfId="0" applyFont="1" applyFill="1" applyBorder="1" applyAlignment="1">
      <alignment vertical="center" wrapText="1"/>
    </xf>
    <xf numFmtId="166" fontId="44" fillId="12" borderId="58" xfId="0" applyNumberFormat="1" applyFont="1" applyFill="1" applyBorder="1" applyAlignment="1">
      <alignment vertical="center" wrapText="1"/>
    </xf>
    <xf numFmtId="166" fontId="0" fillId="12" borderId="58" xfId="0" applyNumberFormat="1" applyFont="1" applyFill="1" applyBorder="1" applyAlignment="1">
      <alignment vertical="center"/>
    </xf>
    <xf numFmtId="166" fontId="0" fillId="0" borderId="58" xfId="0" applyNumberFormat="1" applyFont="1" applyBorder="1" applyAlignment="1">
      <alignment vertical="center"/>
    </xf>
    <xf numFmtId="0" fontId="0" fillId="12" borderId="58" xfId="0" applyFont="1" applyFill="1" applyBorder="1" applyAlignment="1">
      <alignment vertical="center"/>
    </xf>
    <xf numFmtId="166" fontId="7" fillId="0" borderId="58" xfId="0" applyNumberFormat="1" applyFont="1" applyBorder="1" applyAlignment="1">
      <alignment vertical="center"/>
    </xf>
    <xf numFmtId="0" fontId="0" fillId="0" borderId="0" xfId="0" applyAlignment="1">
      <alignment vertical="center"/>
    </xf>
    <xf numFmtId="168" fontId="13" fillId="12" borderId="58" xfId="0" applyNumberFormat="1" applyFont="1" applyFill="1" applyBorder="1" applyAlignment="1">
      <alignment horizontal="center" vertical="center"/>
    </xf>
    <xf numFmtId="44" fontId="13" fillId="12" borderId="58" xfId="7" applyFont="1" applyFill="1" applyBorder="1" applyAlignment="1">
      <alignment horizontal="center" vertical="center"/>
    </xf>
  </cellXfs>
  <cellStyles count="8">
    <cellStyle name="Bad" xfId="3" builtinId="27"/>
    <cellStyle name="Comma" xfId="1" builtinId="3"/>
    <cellStyle name="Currency" xfId="7" builtinId="4"/>
    <cellStyle name="Explanatory Text" xfId="6" builtinId="53"/>
    <cellStyle name="Linked Cell" xfId="4" builtinId="24"/>
    <cellStyle name="Normal" xfId="0" builtinId="0"/>
    <cellStyle name="Percent" xfId="2" builtinId="5"/>
    <cellStyle name="Warning Text" xfId="5" builtinId="1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0</xdr:colOff>
      <xdr:row>0</xdr:row>
      <xdr:rowOff>1</xdr:rowOff>
    </xdr:from>
    <xdr:ext cx="213163" cy="240365"/>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9600" y="1"/>
          <a:ext cx="213163" cy="240365"/>
        </a:xfrm>
        <a:prstGeom prst="rect">
          <a:avLst/>
        </a:prstGeom>
      </xdr:spPr>
    </xdr:pic>
    <xdr:clientData/>
  </xdr:oneCellAnchor>
  <xdr:oneCellAnchor>
    <xdr:from>
      <xdr:col>1</xdr:col>
      <xdr:colOff>0</xdr:colOff>
      <xdr:row>0</xdr:row>
      <xdr:rowOff>1</xdr:rowOff>
    </xdr:from>
    <xdr:ext cx="213163" cy="230840"/>
    <xdr:pic>
      <xdr:nvPicPr>
        <xdr:cNvPr id="3" name="Pictur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9600" y="1"/>
          <a:ext cx="213163" cy="230840"/>
        </a:xfrm>
        <a:prstGeom prst="rect">
          <a:avLst/>
        </a:prstGeom>
      </xdr:spPr>
    </xdr:pic>
    <xdr:clientData/>
  </xdr:oneCellAnchor>
  <xdr:oneCellAnchor>
    <xdr:from>
      <xdr:col>1</xdr:col>
      <xdr:colOff>0</xdr:colOff>
      <xdr:row>0</xdr:row>
      <xdr:rowOff>1</xdr:rowOff>
    </xdr:from>
    <xdr:ext cx="213163" cy="230840"/>
    <xdr:pic>
      <xdr:nvPicPr>
        <xdr:cNvPr id="4" name="Picture 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9600" y="1"/>
          <a:ext cx="213163" cy="230840"/>
        </a:xfrm>
        <a:prstGeom prst="rect">
          <a:avLst/>
        </a:prstGeom>
      </xdr:spPr>
    </xdr:pic>
    <xdr:clientData/>
  </xdr:oneCellAnchor>
  <xdr:oneCellAnchor>
    <xdr:from>
      <xdr:col>1</xdr:col>
      <xdr:colOff>0</xdr:colOff>
      <xdr:row>0</xdr:row>
      <xdr:rowOff>1</xdr:rowOff>
    </xdr:from>
    <xdr:ext cx="213163" cy="221315"/>
    <xdr:pic>
      <xdr:nvPicPr>
        <xdr:cNvPr id="5" name="Picture 4"/>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9600" y="1"/>
          <a:ext cx="213163" cy="221315"/>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dc.gov\private\M106\yak2\COVID-19\ITF%20Spend%20Plan%20March%2024.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U:\DTRA\CY20\Thailand\CDC%20CY20%20Thailand%20Budget_5.28.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ance"/>
      <sheetName val="Spend Plan Request"/>
      <sheetName val="Activity List"/>
      <sheetName val="Tables"/>
      <sheetName val="ITF Spend Plan March 24"/>
    </sheetNames>
    <sheetDataSet>
      <sheetData sheetId="0"/>
      <sheetData sheetId="1"/>
      <sheetData sheetId="2"/>
      <sheetData sheetId="3"/>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untry Summary"/>
      <sheetName val="1_EOC"/>
      <sheetName val="2_IEOC"/>
      <sheetName val="3_BSC_TH"/>
      <sheetName val="Training Center"/>
      <sheetName val="4_Rickettsial"/>
      <sheetName val="5_One Health"/>
      <sheetName val="6_AFI_NGS"/>
      <sheetName val="7_AI surveillance"/>
      <sheetName val="8_Bat surveillance"/>
      <sheetName val="9_Flu"/>
      <sheetName val="Ref for Task 6 travel"/>
      <sheetName val="Travel estimates"/>
    </sheetNames>
    <sheetDataSet>
      <sheetData sheetId="0">
        <row r="1">
          <cell r="B1" t="str">
            <v>Thailand</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0"/>
  <sheetViews>
    <sheetView tabSelected="1" zoomScale="70" zoomScaleNormal="70" workbookViewId="0">
      <pane ySplit="1" topLeftCell="A50" activePane="bottomLeft" state="frozen"/>
      <selection pane="bottomLeft" activeCell="E22" sqref="E22"/>
    </sheetView>
  </sheetViews>
  <sheetFormatPr defaultRowHeight="15"/>
  <cols>
    <col min="2" max="2" width="69.5703125" customWidth="1"/>
    <col min="3" max="3" width="46.5703125" customWidth="1"/>
    <col min="4" max="4" width="32.5703125" style="285" customWidth="1"/>
    <col min="5" max="5" width="33.7109375" customWidth="1"/>
    <col min="6" max="6" width="42.5703125" customWidth="1"/>
    <col min="7" max="7" width="30" customWidth="1"/>
    <col min="8" max="8" width="33.5703125" customWidth="1"/>
    <col min="16" max="16" width="28.7109375" customWidth="1"/>
  </cols>
  <sheetData>
    <row r="1" spans="1:8" ht="85.5" customHeight="1">
      <c r="A1" s="243"/>
      <c r="B1" s="244" t="s">
        <v>333</v>
      </c>
      <c r="C1" s="209" t="s">
        <v>94</v>
      </c>
      <c r="D1" s="277" t="s">
        <v>351</v>
      </c>
      <c r="E1" s="209" t="s">
        <v>332</v>
      </c>
    </row>
    <row r="2" spans="1:8" ht="85.5" customHeight="1">
      <c r="A2" s="245"/>
      <c r="B2" s="246" t="s">
        <v>359</v>
      </c>
      <c r="C2" s="264"/>
      <c r="D2" s="281">
        <f>D3+D4</f>
        <v>184811212</v>
      </c>
      <c r="E2" s="286">
        <f>E3+E4</f>
        <v>57753503.75</v>
      </c>
    </row>
    <row r="3" spans="1:8">
      <c r="A3" s="247" t="s">
        <v>346</v>
      </c>
      <c r="B3" s="247" t="s">
        <v>349</v>
      </c>
      <c r="C3" s="233">
        <v>2268560</v>
      </c>
      <c r="D3" s="237">
        <v>180495752</v>
      </c>
      <c r="E3" s="265">
        <f>D3/3.2</f>
        <v>56404922.5</v>
      </c>
    </row>
    <row r="4" spans="1:8">
      <c r="A4" s="247" t="s">
        <v>347</v>
      </c>
      <c r="B4" s="247" t="s">
        <v>348</v>
      </c>
      <c r="C4" s="234" t="s">
        <v>350</v>
      </c>
      <c r="D4" s="237">
        <v>4315460</v>
      </c>
      <c r="E4" s="265">
        <f>D4/3.2</f>
        <v>1348581.25</v>
      </c>
    </row>
    <row r="5" spans="1:8" ht="85.5" customHeight="1">
      <c r="A5" s="210"/>
      <c r="B5" s="246" t="s">
        <v>352</v>
      </c>
      <c r="C5" s="210"/>
      <c r="D5" s="237">
        <v>54017850</v>
      </c>
      <c r="E5" s="286">
        <f>D5/3.2</f>
        <v>16880578.125</v>
      </c>
    </row>
    <row r="6" spans="1:8">
      <c r="A6" s="235"/>
      <c r="B6" s="234" t="s">
        <v>90</v>
      </c>
      <c r="C6" s="236" t="s">
        <v>353</v>
      </c>
      <c r="D6" s="282"/>
      <c r="E6" s="235"/>
    </row>
    <row r="7" spans="1:8">
      <c r="A7" s="235"/>
      <c r="B7" s="234" t="s">
        <v>54</v>
      </c>
      <c r="C7" s="236"/>
      <c r="D7" s="282"/>
      <c r="E7" s="235"/>
    </row>
    <row r="8" spans="1:8">
      <c r="A8" s="235"/>
      <c r="B8" s="234" t="s">
        <v>86</v>
      </c>
      <c r="C8" s="236"/>
      <c r="D8" s="282"/>
      <c r="E8" s="235"/>
    </row>
    <row r="9" spans="1:8">
      <c r="A9" s="235"/>
      <c r="B9" s="234" t="s">
        <v>85</v>
      </c>
      <c r="C9" s="236"/>
      <c r="D9" s="282"/>
      <c r="E9" s="235"/>
    </row>
    <row r="10" spans="1:8">
      <c r="A10" s="235"/>
      <c r="B10" s="234" t="s">
        <v>83</v>
      </c>
      <c r="C10" s="236"/>
      <c r="D10" s="282"/>
      <c r="E10" s="235"/>
    </row>
    <row r="11" spans="1:8">
      <c r="A11" s="235"/>
      <c r="B11" s="234" t="s">
        <v>81</v>
      </c>
      <c r="C11" s="236"/>
      <c r="D11" s="282"/>
      <c r="E11" s="235"/>
    </row>
    <row r="12" spans="1:8">
      <c r="A12" s="235"/>
      <c r="B12" s="234" t="s">
        <v>79</v>
      </c>
      <c r="C12" s="236"/>
      <c r="D12" s="282"/>
      <c r="E12" s="235"/>
    </row>
    <row r="13" spans="1:8">
      <c r="A13" s="235"/>
      <c r="B13" s="234" t="s">
        <v>77</v>
      </c>
      <c r="C13" s="236"/>
      <c r="D13" s="282"/>
      <c r="E13" s="235"/>
    </row>
    <row r="14" spans="1:8">
      <c r="A14" s="235"/>
      <c r="B14" s="234" t="s">
        <v>75</v>
      </c>
      <c r="C14" s="236"/>
      <c r="D14" s="282"/>
      <c r="E14" s="235"/>
    </row>
    <row r="15" spans="1:8">
      <c r="A15" s="235"/>
      <c r="B15" s="234" t="s">
        <v>73</v>
      </c>
      <c r="C15" s="236"/>
      <c r="D15" s="282"/>
      <c r="E15" s="235"/>
    </row>
    <row r="16" spans="1:8">
      <c r="A16" s="235"/>
      <c r="B16" s="234" t="s">
        <v>52</v>
      </c>
      <c r="C16" s="236"/>
      <c r="D16" s="282"/>
      <c r="E16" s="235"/>
      <c r="H16" s="1"/>
    </row>
    <row r="17" spans="1:8">
      <c r="A17" s="235"/>
      <c r="B17" s="234" t="s">
        <v>53</v>
      </c>
      <c r="C17" s="236"/>
      <c r="D17" s="282"/>
      <c r="E17" s="235"/>
      <c r="H17" s="1"/>
    </row>
    <row r="18" spans="1:8">
      <c r="A18" s="235"/>
      <c r="B18" s="234" t="s">
        <v>67</v>
      </c>
      <c r="C18" s="236"/>
      <c r="D18" s="282"/>
      <c r="E18" s="235"/>
    </row>
    <row r="19" spans="1:8">
      <c r="A19" s="235"/>
      <c r="B19" s="234" t="s">
        <v>55</v>
      </c>
      <c r="C19" s="236"/>
      <c r="D19" s="282"/>
      <c r="E19" s="235"/>
      <c r="H19" s="128"/>
    </row>
    <row r="20" spans="1:8">
      <c r="A20" s="235"/>
      <c r="B20" s="234" t="s">
        <v>56</v>
      </c>
      <c r="C20" s="236"/>
      <c r="D20" s="282"/>
      <c r="E20" s="235"/>
    </row>
    <row r="21" spans="1:8">
      <c r="A21" s="235"/>
      <c r="B21" s="234" t="s">
        <v>57</v>
      </c>
      <c r="C21" s="236"/>
      <c r="D21" s="282"/>
      <c r="E21" s="235"/>
    </row>
    <row r="22" spans="1:8" ht="38.25" customHeight="1">
      <c r="A22" s="246"/>
      <c r="B22" s="248" t="s">
        <v>360</v>
      </c>
      <c r="C22" s="232"/>
      <c r="D22" s="278"/>
      <c r="E22" s="287">
        <f>E24+E26+E28+E30+E31</f>
        <v>20644375</v>
      </c>
    </row>
    <row r="23" spans="1:8" ht="48" customHeight="1">
      <c r="A23" s="255" t="s">
        <v>355</v>
      </c>
      <c r="B23" s="256" t="s">
        <v>339</v>
      </c>
      <c r="C23" s="257"/>
      <c r="D23" s="257"/>
      <c r="E23" s="258"/>
    </row>
    <row r="24" spans="1:8" ht="203.25" customHeight="1">
      <c r="A24" s="234"/>
      <c r="B24" s="247" t="s">
        <v>338</v>
      </c>
      <c r="C24" s="234"/>
      <c r="D24" s="237">
        <f>E24*3.2</f>
        <v>32000000</v>
      </c>
      <c r="E24" s="265">
        <v>10000000</v>
      </c>
    </row>
    <row r="25" spans="1:8" ht="57.75" customHeight="1">
      <c r="A25" s="246" t="s">
        <v>356</v>
      </c>
      <c r="B25" s="259" t="s">
        <v>337</v>
      </c>
      <c r="C25" s="260"/>
      <c r="D25" s="260"/>
      <c r="E25" s="261"/>
    </row>
    <row r="26" spans="1:8" ht="30" customHeight="1">
      <c r="A26" s="234"/>
      <c r="B26" s="238" t="s">
        <v>340</v>
      </c>
      <c r="C26" s="239" t="s">
        <v>362</v>
      </c>
      <c r="D26" s="237">
        <f>E26*3.2</f>
        <v>16000000</v>
      </c>
      <c r="E26" s="265">
        <v>5000000</v>
      </c>
    </row>
    <row r="27" spans="1:8" ht="42" customHeight="1">
      <c r="A27" s="246" t="s">
        <v>357</v>
      </c>
      <c r="B27" s="259" t="s">
        <v>341</v>
      </c>
      <c r="C27" s="260"/>
      <c r="D27" s="260"/>
      <c r="E27" s="261"/>
    </row>
    <row r="28" spans="1:8" ht="45">
      <c r="A28" s="234"/>
      <c r="B28" s="211" t="s">
        <v>342</v>
      </c>
      <c r="C28" s="239">
        <v>1</v>
      </c>
      <c r="D28" s="237">
        <v>142000</v>
      </c>
      <c r="E28" s="265">
        <f>D28/3.2</f>
        <v>44375</v>
      </c>
    </row>
    <row r="29" spans="1:8" ht="30" customHeight="1">
      <c r="A29" s="246" t="s">
        <v>358</v>
      </c>
      <c r="B29" s="259" t="s">
        <v>354</v>
      </c>
      <c r="C29" s="260"/>
      <c r="D29" s="260"/>
      <c r="E29" s="261"/>
    </row>
    <row r="30" spans="1:8" ht="45.75" customHeight="1">
      <c r="A30" s="234"/>
      <c r="B30" s="240" t="s">
        <v>343</v>
      </c>
      <c r="C30" s="234"/>
      <c r="D30" s="240"/>
      <c r="E30" s="265">
        <v>1100000</v>
      </c>
    </row>
    <row r="31" spans="1:8" ht="54.75" customHeight="1">
      <c r="A31" s="246" t="s">
        <v>361</v>
      </c>
      <c r="B31" s="246" t="s">
        <v>366</v>
      </c>
      <c r="C31" s="239" t="s">
        <v>362</v>
      </c>
      <c r="D31" s="240"/>
      <c r="E31" s="265">
        <v>4500000</v>
      </c>
    </row>
    <row r="32" spans="1:8" ht="82.5" customHeight="1">
      <c r="A32" s="246">
        <v>4</v>
      </c>
      <c r="B32" s="246" t="s">
        <v>344</v>
      </c>
      <c r="C32" s="246"/>
      <c r="D32" s="279"/>
      <c r="E32" s="266">
        <f>E33+E34+E35</f>
        <v>10733000</v>
      </c>
    </row>
    <row r="33" spans="1:16" ht="112.5" customHeight="1">
      <c r="A33" s="247" t="s">
        <v>363</v>
      </c>
      <c r="B33" s="238" t="s">
        <v>121</v>
      </c>
      <c r="C33" s="249"/>
      <c r="D33" s="250"/>
      <c r="E33" s="265">
        <v>7733000</v>
      </c>
    </row>
    <row r="34" spans="1:16" ht="45.75" customHeight="1">
      <c r="A34" s="247" t="s">
        <v>364</v>
      </c>
      <c r="B34" s="252" t="s">
        <v>120</v>
      </c>
      <c r="C34" s="253"/>
      <c r="D34" s="254"/>
      <c r="E34" s="265">
        <v>1200000</v>
      </c>
    </row>
    <row r="35" spans="1:16" ht="52.5" customHeight="1">
      <c r="A35" s="247" t="s">
        <v>365</v>
      </c>
      <c r="B35" s="252" t="s">
        <v>119</v>
      </c>
      <c r="C35" s="253"/>
      <c r="D35" s="254"/>
      <c r="E35" s="265">
        <v>1800000</v>
      </c>
    </row>
    <row r="36" spans="1:16" ht="42.75" customHeight="1">
      <c r="A36" s="246">
        <v>5</v>
      </c>
      <c r="B36" s="246" t="s">
        <v>331</v>
      </c>
      <c r="C36" s="262"/>
      <c r="D36" s="283"/>
      <c r="E36" s="266">
        <f>E37+E38</f>
        <v>22968750</v>
      </c>
    </row>
    <row r="37" spans="1:16" ht="55.5" customHeight="1">
      <c r="A37" s="234" t="s">
        <v>367</v>
      </c>
      <c r="B37" s="241" t="s">
        <v>330</v>
      </c>
      <c r="C37" s="242"/>
      <c r="D37" s="237">
        <v>52500000</v>
      </c>
      <c r="E37" s="263">
        <f>D37/3.2</f>
        <v>16406250</v>
      </c>
      <c r="H37" s="128"/>
    </row>
    <row r="38" spans="1:16" ht="54" customHeight="1">
      <c r="A38" s="234" t="s">
        <v>368</v>
      </c>
      <c r="B38" s="241" t="s">
        <v>345</v>
      </c>
      <c r="C38" s="234"/>
      <c r="D38" s="284">
        <v>21000000</v>
      </c>
      <c r="E38" s="263">
        <f>D38/3.2</f>
        <v>6562500</v>
      </c>
    </row>
    <row r="39" spans="1:16" ht="42.75" customHeight="1">
      <c r="A39" s="246">
        <v>6</v>
      </c>
      <c r="B39" s="246" t="s">
        <v>372</v>
      </c>
      <c r="C39" s="246"/>
      <c r="D39" s="279"/>
      <c r="E39" s="266">
        <v>16299400</v>
      </c>
      <c r="F39" s="266" t="s">
        <v>371</v>
      </c>
    </row>
    <row r="40" spans="1:16" ht="47.25" customHeight="1">
      <c r="A40" s="234" t="s">
        <v>369</v>
      </c>
      <c r="B40" s="234" t="s">
        <v>329</v>
      </c>
      <c r="C40" s="234"/>
      <c r="D40" s="240"/>
      <c r="E40" s="249">
        <f>16204000-5100000</f>
        <v>11104000</v>
      </c>
      <c r="F40" s="249"/>
      <c r="H40" s="128"/>
    </row>
    <row r="41" spans="1:16" ht="55.5" customHeight="1">
      <c r="A41" s="234" t="s">
        <v>370</v>
      </c>
      <c r="B41" s="234" t="s">
        <v>7</v>
      </c>
      <c r="C41" s="251"/>
      <c r="D41" s="251"/>
      <c r="E41" s="249">
        <v>300000</v>
      </c>
    </row>
    <row r="42" spans="1:16" ht="45.75" customHeight="1">
      <c r="A42" s="246">
        <v>7</v>
      </c>
      <c r="B42" s="246" t="s">
        <v>328</v>
      </c>
      <c r="C42" s="246"/>
      <c r="D42" s="279"/>
      <c r="E42" s="266">
        <f>E43+E44</f>
        <v>335625</v>
      </c>
    </row>
    <row r="43" spans="1:16" ht="55.5" customHeight="1">
      <c r="A43" s="234" t="s">
        <v>373</v>
      </c>
      <c r="B43" s="241" t="s">
        <v>69</v>
      </c>
      <c r="C43" s="234"/>
      <c r="D43" s="251">
        <v>50000</v>
      </c>
      <c r="E43" s="263">
        <f>D43/3.2</f>
        <v>15625</v>
      </c>
    </row>
    <row r="44" spans="1:16" ht="63" customHeight="1">
      <c r="A44" s="234" t="s">
        <v>374</v>
      </c>
      <c r="B44" s="234" t="s">
        <v>375</v>
      </c>
      <c r="C44" s="234"/>
      <c r="D44" s="240"/>
      <c r="E44" s="249">
        <v>320000</v>
      </c>
    </row>
    <row r="45" spans="1:16" hidden="1">
      <c r="A45" s="208"/>
      <c r="B45" s="208"/>
      <c r="C45" s="208"/>
      <c r="D45" s="231"/>
      <c r="E45" s="208"/>
      <c r="P45" s="215"/>
    </row>
    <row r="46" spans="1:16" ht="84.75" customHeight="1">
      <c r="A46" s="267" t="s">
        <v>378</v>
      </c>
      <c r="B46" s="268"/>
      <c r="C46" s="269"/>
      <c r="D46" s="274">
        <f>E46/3.2</f>
        <v>45504759.9609375</v>
      </c>
      <c r="E46" s="270">
        <f>E2+E5+E22+E32+E36+E39+E42</f>
        <v>145615231.875</v>
      </c>
      <c r="P46" s="216"/>
    </row>
    <row r="47" spans="1:16" ht="57.75" customHeight="1">
      <c r="A47" s="246">
        <v>8</v>
      </c>
      <c r="B47" s="246" t="s">
        <v>327</v>
      </c>
      <c r="C47" s="246"/>
      <c r="D47" s="280">
        <f>D48+D49+D50</f>
        <v>270528999</v>
      </c>
      <c r="E47" s="276">
        <f>E48+E49+E50</f>
        <v>84540312.1875</v>
      </c>
      <c r="P47" s="216"/>
    </row>
    <row r="48" spans="1:16" ht="47.25" customHeight="1">
      <c r="A48" s="247" t="s">
        <v>377</v>
      </c>
      <c r="B48" s="271" t="s">
        <v>376</v>
      </c>
      <c r="C48" s="208"/>
      <c r="D48" s="251">
        <v>26033999</v>
      </c>
      <c r="E48" s="272">
        <f>D48/3.2</f>
        <v>8135624.6875</v>
      </c>
      <c r="P48" s="216"/>
    </row>
    <row r="49" spans="1:16" ht="50.25" customHeight="1">
      <c r="A49" s="247" t="s">
        <v>379</v>
      </c>
      <c r="B49" s="271" t="s">
        <v>380</v>
      </c>
      <c r="C49" s="208"/>
      <c r="D49" s="251">
        <v>183495000</v>
      </c>
      <c r="E49" s="272">
        <f>D49/3.2</f>
        <v>57342187.5</v>
      </c>
      <c r="P49" s="216"/>
    </row>
    <row r="50" spans="1:16" ht="163.5" customHeight="1">
      <c r="A50" s="247" t="s">
        <v>381</v>
      </c>
      <c r="B50" s="273" t="s">
        <v>336</v>
      </c>
      <c r="C50" s="212"/>
      <c r="D50" s="251">
        <v>61000000</v>
      </c>
      <c r="E50" s="275">
        <f>D50/3.2</f>
        <v>19062500</v>
      </c>
    </row>
  </sheetData>
  <mergeCells count="10">
    <mergeCell ref="D6:D21"/>
    <mergeCell ref="C6:C21"/>
    <mergeCell ref="P45:P49"/>
    <mergeCell ref="A6:A21"/>
    <mergeCell ref="E6:E21"/>
    <mergeCell ref="B23:E23"/>
    <mergeCell ref="B25:E25"/>
    <mergeCell ref="B27:E27"/>
    <mergeCell ref="B29:E29"/>
    <mergeCell ref="A46:C46"/>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4"/>
  <sheetViews>
    <sheetView view="pageBreakPreview" zoomScale="70" zoomScaleNormal="70" zoomScaleSheetLayoutView="70" workbookViewId="0">
      <pane xSplit="3" ySplit="2" topLeftCell="D33" activePane="bottomRight" state="frozen"/>
      <selection pane="topRight" activeCell="D1" sqref="D1"/>
      <selection pane="bottomLeft" activeCell="A4" sqref="A4"/>
      <selection pane="bottomRight" activeCell="P17" sqref="P17"/>
    </sheetView>
  </sheetViews>
  <sheetFormatPr defaultRowHeight="15"/>
  <cols>
    <col min="1" max="1" width="4" style="160" customWidth="1"/>
    <col min="2" max="2" width="36.7109375" style="159" customWidth="1"/>
    <col min="3" max="3" width="35" style="156" customWidth="1"/>
    <col min="4" max="4" width="13.85546875" style="158" customWidth="1"/>
    <col min="5" max="5" width="26.42578125" style="157" customWidth="1"/>
    <col min="6" max="6" width="27.85546875" style="156" customWidth="1"/>
    <col min="7" max="7" width="29.5703125" style="156" customWidth="1"/>
  </cols>
  <sheetData>
    <row r="1" spans="1:7" ht="46.9" customHeight="1">
      <c r="A1" s="204"/>
      <c r="B1" s="203" t="s">
        <v>323</v>
      </c>
      <c r="C1" s="201" t="s">
        <v>322</v>
      </c>
      <c r="D1" s="202" t="s">
        <v>321</v>
      </c>
      <c r="E1" s="202" t="s">
        <v>320</v>
      </c>
      <c r="F1" s="202" t="s">
        <v>319</v>
      </c>
      <c r="G1" s="201" t="s">
        <v>318</v>
      </c>
    </row>
    <row r="2" spans="1:7" s="168" customFormat="1" ht="28.5" customHeight="1">
      <c r="A2" s="226" t="s">
        <v>317</v>
      </c>
      <c r="B2" s="227"/>
      <c r="C2" s="227"/>
      <c r="D2" s="227"/>
      <c r="E2" s="200">
        <v>112291.66666666667</v>
      </c>
      <c r="F2" s="200">
        <v>1478208.3333333333</v>
      </c>
      <c r="G2" s="169"/>
    </row>
    <row r="3" spans="1:7" ht="150.75" customHeight="1">
      <c r="A3" s="175" t="s">
        <v>316</v>
      </c>
      <c r="B3" s="174" t="s">
        <v>315</v>
      </c>
      <c r="C3" s="174" t="s">
        <v>314</v>
      </c>
      <c r="D3" s="173" t="s">
        <v>313</v>
      </c>
      <c r="E3" s="177">
        <v>112291.66666666667</v>
      </c>
      <c r="F3" s="177">
        <v>1478208.3333333333</v>
      </c>
      <c r="G3" s="190" t="s">
        <v>312</v>
      </c>
    </row>
    <row r="4" spans="1:7" ht="79.5" customHeight="1">
      <c r="A4" s="175" t="s">
        <v>311</v>
      </c>
      <c r="B4" s="174" t="s">
        <v>310</v>
      </c>
      <c r="C4" s="174" t="s">
        <v>309</v>
      </c>
      <c r="D4" s="173" t="s">
        <v>308</v>
      </c>
      <c r="E4" s="177">
        <v>0</v>
      </c>
      <c r="F4" s="177">
        <v>0</v>
      </c>
      <c r="G4" s="173" t="s">
        <v>139</v>
      </c>
    </row>
    <row r="5" spans="1:7" ht="150" customHeight="1">
      <c r="A5" s="175" t="s">
        <v>307</v>
      </c>
      <c r="B5" s="174" t="s">
        <v>306</v>
      </c>
      <c r="C5" s="174" t="s">
        <v>305</v>
      </c>
      <c r="D5" s="173" t="s">
        <v>135</v>
      </c>
      <c r="E5" s="177">
        <v>0</v>
      </c>
      <c r="F5" s="177">
        <v>0</v>
      </c>
      <c r="G5" s="173" t="s">
        <v>304</v>
      </c>
    </row>
    <row r="6" spans="1:7" s="168" customFormat="1" ht="24" customHeight="1">
      <c r="A6" s="226" t="s">
        <v>303</v>
      </c>
      <c r="B6" s="227"/>
      <c r="C6" s="227"/>
      <c r="D6" s="227"/>
      <c r="E6" s="191">
        <v>81090.222222222219</v>
      </c>
      <c r="F6" s="191">
        <v>861055.55555555562</v>
      </c>
      <c r="G6" s="169"/>
    </row>
    <row r="7" spans="1:7" ht="60">
      <c r="A7" s="175" t="s">
        <v>302</v>
      </c>
      <c r="B7" s="174" t="s">
        <v>301</v>
      </c>
      <c r="C7" s="173" t="s">
        <v>300</v>
      </c>
      <c r="D7" s="173" t="s">
        <v>299</v>
      </c>
      <c r="E7" s="177">
        <v>6250</v>
      </c>
      <c r="F7" s="177">
        <v>0</v>
      </c>
      <c r="G7" s="173" t="s">
        <v>298</v>
      </c>
    </row>
    <row r="8" spans="1:7" ht="75.599999999999994" customHeight="1">
      <c r="A8" s="175" t="s">
        <v>297</v>
      </c>
      <c r="B8" s="174" t="s">
        <v>296</v>
      </c>
      <c r="C8" s="174" t="s">
        <v>295</v>
      </c>
      <c r="D8" s="173" t="s">
        <v>276</v>
      </c>
      <c r="E8" s="177">
        <v>0</v>
      </c>
      <c r="F8" s="177">
        <v>100000</v>
      </c>
      <c r="G8" s="192" t="s">
        <v>286</v>
      </c>
    </row>
    <row r="9" spans="1:7" ht="193.5" customHeight="1">
      <c r="A9" s="175" t="s">
        <v>294</v>
      </c>
      <c r="B9" s="174" t="s">
        <v>293</v>
      </c>
      <c r="C9" s="174" t="s">
        <v>292</v>
      </c>
      <c r="D9" s="173" t="s">
        <v>291</v>
      </c>
      <c r="E9" s="177">
        <v>23920.222222222223</v>
      </c>
      <c r="F9" s="177">
        <v>361055.55555555562</v>
      </c>
      <c r="G9" s="173" t="s">
        <v>290</v>
      </c>
    </row>
    <row r="10" spans="1:7" ht="50.45" customHeight="1">
      <c r="A10" s="175" t="s">
        <v>289</v>
      </c>
      <c r="B10" s="174" t="s">
        <v>288</v>
      </c>
      <c r="C10" s="174" t="s">
        <v>287</v>
      </c>
      <c r="D10" s="173" t="s">
        <v>276</v>
      </c>
      <c r="E10" s="177">
        <v>12000</v>
      </c>
      <c r="F10" s="177">
        <v>350000</v>
      </c>
      <c r="G10" s="199" t="s">
        <v>286</v>
      </c>
    </row>
    <row r="11" spans="1:7" ht="60">
      <c r="A11" s="175" t="s">
        <v>285</v>
      </c>
      <c r="B11" s="174" t="s">
        <v>284</v>
      </c>
      <c r="C11" s="174" t="s">
        <v>283</v>
      </c>
      <c r="D11" s="173" t="s">
        <v>282</v>
      </c>
      <c r="E11" s="177">
        <v>38920</v>
      </c>
      <c r="F11" s="177">
        <v>50000</v>
      </c>
      <c r="G11" s="173" t="s">
        <v>281</v>
      </c>
    </row>
    <row r="12" spans="1:7" s="168" customFormat="1" ht="56.25" customHeight="1">
      <c r="A12" s="226" t="s">
        <v>280</v>
      </c>
      <c r="B12" s="227"/>
      <c r="C12" s="227"/>
      <c r="D12" s="227"/>
      <c r="E12" s="191">
        <v>13613398.4</v>
      </c>
      <c r="F12" s="191">
        <v>27269601.600000001</v>
      </c>
      <c r="G12" s="169"/>
    </row>
    <row r="13" spans="1:7" ht="59.25" customHeight="1">
      <c r="A13" s="175" t="s">
        <v>279</v>
      </c>
      <c r="B13" s="174" t="s">
        <v>278</v>
      </c>
      <c r="C13" s="174" t="s">
        <v>277</v>
      </c>
      <c r="D13" s="173" t="s">
        <v>276</v>
      </c>
      <c r="E13" s="177">
        <v>0</v>
      </c>
      <c r="F13" s="177">
        <v>0</v>
      </c>
      <c r="G13" s="171"/>
    </row>
    <row r="14" spans="1:7" ht="80.25" customHeight="1">
      <c r="A14" s="175" t="s">
        <v>275</v>
      </c>
      <c r="B14" s="174" t="s">
        <v>274</v>
      </c>
      <c r="C14" s="174" t="s">
        <v>273</v>
      </c>
      <c r="D14" s="173" t="s">
        <v>272</v>
      </c>
      <c r="E14" s="177">
        <v>0</v>
      </c>
      <c r="F14" s="177">
        <v>7733000</v>
      </c>
      <c r="G14" s="187" t="s">
        <v>271</v>
      </c>
    </row>
    <row r="15" spans="1:7" ht="52.5" customHeight="1">
      <c r="A15" s="175" t="s">
        <v>270</v>
      </c>
      <c r="B15" s="174" t="s">
        <v>269</v>
      </c>
      <c r="C15" s="174" t="s">
        <v>268</v>
      </c>
      <c r="D15" s="173" t="s">
        <v>201</v>
      </c>
      <c r="E15" s="177">
        <v>0</v>
      </c>
      <c r="F15" s="177">
        <v>50000</v>
      </c>
      <c r="G15" s="173" t="s">
        <v>267</v>
      </c>
    </row>
    <row r="16" spans="1:7" ht="115.5" customHeight="1">
      <c r="A16" s="175" t="s">
        <v>266</v>
      </c>
      <c r="B16" s="174" t="s">
        <v>265</v>
      </c>
      <c r="C16" s="174" t="s">
        <v>264</v>
      </c>
      <c r="D16" s="173" t="s">
        <v>181</v>
      </c>
      <c r="E16" s="177">
        <v>13613398.4</v>
      </c>
      <c r="F16" s="177">
        <v>19486601.600000001</v>
      </c>
      <c r="G16" s="193" t="s">
        <v>263</v>
      </c>
    </row>
    <row r="17" spans="1:7" s="168" customFormat="1" ht="21.75" customHeight="1">
      <c r="A17" s="226" t="s">
        <v>262</v>
      </c>
      <c r="B17" s="227"/>
      <c r="C17" s="227"/>
      <c r="D17" s="227"/>
      <c r="E17" s="191">
        <v>120000</v>
      </c>
      <c r="F17" s="191">
        <v>2845000</v>
      </c>
      <c r="G17" s="169"/>
    </row>
    <row r="18" spans="1:7" ht="49.15" customHeight="1">
      <c r="A18" s="175" t="s">
        <v>261</v>
      </c>
      <c r="B18" s="174" t="s">
        <v>260</v>
      </c>
      <c r="C18" s="174" t="s">
        <v>259</v>
      </c>
      <c r="D18" s="173" t="s">
        <v>181</v>
      </c>
      <c r="E18" s="177">
        <v>0</v>
      </c>
      <c r="F18" s="177">
        <v>0</v>
      </c>
      <c r="G18" s="173" t="s">
        <v>258</v>
      </c>
    </row>
    <row r="19" spans="1:7" ht="60">
      <c r="A19" s="175" t="s">
        <v>257</v>
      </c>
      <c r="B19" s="174" t="s">
        <v>256</v>
      </c>
      <c r="C19" s="181" t="s">
        <v>255</v>
      </c>
      <c r="D19" s="181" t="s">
        <v>254</v>
      </c>
      <c r="E19" s="177">
        <v>120000</v>
      </c>
      <c r="F19" s="177">
        <v>45000</v>
      </c>
      <c r="G19" s="193" t="s">
        <v>253</v>
      </c>
    </row>
    <row r="20" spans="1:7" ht="70.5" customHeight="1">
      <c r="A20" s="175" t="s">
        <v>252</v>
      </c>
      <c r="B20" s="189" t="s">
        <v>251</v>
      </c>
      <c r="C20" s="189" t="s">
        <v>212</v>
      </c>
      <c r="D20" s="173" t="s">
        <v>201</v>
      </c>
      <c r="E20" s="177">
        <v>0</v>
      </c>
      <c r="F20" s="177">
        <v>0</v>
      </c>
      <c r="G20" s="171"/>
    </row>
    <row r="21" spans="1:7" ht="50.25" customHeight="1">
      <c r="A21" s="175" t="s">
        <v>250</v>
      </c>
      <c r="B21" s="189" t="s">
        <v>249</v>
      </c>
      <c r="C21" s="189" t="s">
        <v>248</v>
      </c>
      <c r="D21" s="173" t="s">
        <v>201</v>
      </c>
      <c r="E21" s="177">
        <v>0</v>
      </c>
      <c r="F21" s="177">
        <v>0</v>
      </c>
      <c r="G21" s="171"/>
    </row>
    <row r="22" spans="1:7" ht="85.5" customHeight="1">
      <c r="A22" s="196" t="s">
        <v>247</v>
      </c>
      <c r="B22" s="195" t="s">
        <v>246</v>
      </c>
      <c r="C22" s="198" t="s">
        <v>245</v>
      </c>
      <c r="D22" s="193" t="s">
        <v>201</v>
      </c>
      <c r="E22" s="177">
        <v>0</v>
      </c>
      <c r="F22" s="177">
        <v>2800000</v>
      </c>
      <c r="G22" s="193" t="s">
        <v>244</v>
      </c>
    </row>
    <row r="23" spans="1:7" s="168" customFormat="1" ht="15" customHeight="1">
      <c r="A23" s="226" t="s">
        <v>243</v>
      </c>
      <c r="B23" s="227"/>
      <c r="C23" s="227"/>
      <c r="D23" s="227"/>
      <c r="E23" s="191">
        <v>9226306.4499999993</v>
      </c>
      <c r="F23" s="191">
        <v>87976291.950000003</v>
      </c>
      <c r="G23" s="169"/>
    </row>
    <row r="24" spans="1:7" ht="92.25" customHeight="1">
      <c r="A24" s="196" t="s">
        <v>242</v>
      </c>
      <c r="B24" s="195" t="s">
        <v>241</v>
      </c>
      <c r="C24" s="195" t="s">
        <v>240</v>
      </c>
      <c r="D24" s="193" t="s">
        <v>181</v>
      </c>
      <c r="E24" s="177">
        <v>6910820</v>
      </c>
      <c r="F24" s="177">
        <v>46652416.666666672</v>
      </c>
      <c r="G24" s="184" t="s">
        <v>239</v>
      </c>
    </row>
    <row r="25" spans="1:7" ht="62.45" customHeight="1">
      <c r="A25" s="196" t="s">
        <v>238</v>
      </c>
      <c r="B25" s="195" t="s">
        <v>237</v>
      </c>
      <c r="C25" s="195" t="s">
        <v>236</v>
      </c>
      <c r="D25" s="193" t="s">
        <v>201</v>
      </c>
      <c r="E25" s="177">
        <v>0</v>
      </c>
      <c r="F25" s="177">
        <v>0</v>
      </c>
      <c r="G25" s="197"/>
    </row>
    <row r="26" spans="1:7" ht="93" customHeight="1">
      <c r="A26" s="196" t="s">
        <v>169</v>
      </c>
      <c r="B26" s="195" t="s">
        <v>235</v>
      </c>
      <c r="C26" s="195" t="s">
        <v>234</v>
      </c>
      <c r="D26" s="193" t="s">
        <v>181</v>
      </c>
      <c r="E26" s="177">
        <v>840685.11666666658</v>
      </c>
      <c r="F26" s="177">
        <v>17763229.066666666</v>
      </c>
      <c r="G26" s="184" t="s">
        <v>233</v>
      </c>
    </row>
    <row r="27" spans="1:7" ht="75.75" customHeight="1">
      <c r="A27" s="196" t="s">
        <v>165</v>
      </c>
      <c r="B27" s="195" t="s">
        <v>232</v>
      </c>
      <c r="C27" s="195" t="s">
        <v>231</v>
      </c>
      <c r="D27" s="193" t="s">
        <v>201</v>
      </c>
      <c r="E27" s="177">
        <v>1472306.3333333333</v>
      </c>
      <c r="F27" s="177">
        <v>12190316.216666667</v>
      </c>
      <c r="G27" s="184" t="s">
        <v>230</v>
      </c>
    </row>
    <row r="28" spans="1:7" ht="74.25" customHeight="1">
      <c r="A28" s="196" t="s">
        <v>161</v>
      </c>
      <c r="B28" s="195" t="s">
        <v>229</v>
      </c>
      <c r="C28" s="195" t="s">
        <v>228</v>
      </c>
      <c r="D28" s="193" t="s">
        <v>227</v>
      </c>
      <c r="E28" s="177">
        <v>0</v>
      </c>
      <c r="F28" s="177">
        <v>10977330</v>
      </c>
      <c r="G28" s="197" t="s">
        <v>147</v>
      </c>
    </row>
    <row r="29" spans="1:7" ht="54" customHeight="1">
      <c r="A29" s="196" t="s">
        <v>226</v>
      </c>
      <c r="B29" s="195" t="s">
        <v>225</v>
      </c>
      <c r="C29" s="195" t="s">
        <v>224</v>
      </c>
      <c r="D29" s="193" t="s">
        <v>201</v>
      </c>
      <c r="E29" s="177">
        <v>2495</v>
      </c>
      <c r="F29" s="177">
        <v>393000</v>
      </c>
      <c r="G29" s="184" t="s">
        <v>223</v>
      </c>
    </row>
    <row r="30" spans="1:7" s="168" customFormat="1" ht="51.75" customHeight="1">
      <c r="A30" s="226" t="s">
        <v>222</v>
      </c>
      <c r="B30" s="227"/>
      <c r="C30" s="227"/>
      <c r="D30" s="227"/>
      <c r="E30" s="191">
        <v>109464</v>
      </c>
      <c r="F30" s="191">
        <v>234950</v>
      </c>
      <c r="G30" s="194"/>
    </row>
    <row r="31" spans="1:7" ht="47.25" customHeight="1">
      <c r="A31" s="175" t="s">
        <v>221</v>
      </c>
      <c r="B31" s="174" t="s">
        <v>220</v>
      </c>
      <c r="C31" s="193" t="s">
        <v>219</v>
      </c>
      <c r="D31" s="173"/>
      <c r="E31" s="177">
        <v>0</v>
      </c>
      <c r="F31" s="177">
        <v>0</v>
      </c>
      <c r="G31" s="171"/>
    </row>
    <row r="32" spans="1:7" ht="25.5" customHeight="1">
      <c r="A32" s="175" t="s">
        <v>169</v>
      </c>
      <c r="B32" s="189" t="s">
        <v>218</v>
      </c>
      <c r="C32" s="171" t="s">
        <v>217</v>
      </c>
      <c r="D32" s="173" t="s">
        <v>181</v>
      </c>
      <c r="E32" s="215">
        <v>109464</v>
      </c>
      <c r="F32" s="215">
        <v>179950</v>
      </c>
      <c r="G32" s="228" t="s">
        <v>216</v>
      </c>
    </row>
    <row r="33" spans="1:7" ht="37.5" customHeight="1">
      <c r="A33" s="175" t="s">
        <v>165</v>
      </c>
      <c r="B33" s="189" t="s">
        <v>215</v>
      </c>
      <c r="C33" s="174" t="s">
        <v>214</v>
      </c>
      <c r="D33" s="173" t="s">
        <v>181</v>
      </c>
      <c r="E33" s="216"/>
      <c r="F33" s="216"/>
      <c r="G33" s="229"/>
    </row>
    <row r="34" spans="1:7" ht="66.75" customHeight="1">
      <c r="A34" s="175" t="s">
        <v>161</v>
      </c>
      <c r="B34" s="189" t="s">
        <v>213</v>
      </c>
      <c r="C34" s="174" t="s">
        <v>212</v>
      </c>
      <c r="D34" s="173" t="s">
        <v>201</v>
      </c>
      <c r="E34" s="216"/>
      <c r="F34" s="216"/>
      <c r="G34" s="229"/>
    </row>
    <row r="35" spans="1:7" ht="74.25" customHeight="1">
      <c r="A35" s="175" t="s">
        <v>157</v>
      </c>
      <c r="B35" s="189" t="s">
        <v>211</v>
      </c>
      <c r="C35" s="174" t="s">
        <v>210</v>
      </c>
      <c r="D35" s="173" t="s">
        <v>201</v>
      </c>
      <c r="E35" s="216"/>
      <c r="F35" s="216"/>
      <c r="G35" s="229"/>
    </row>
    <row r="36" spans="1:7" ht="45">
      <c r="A36" s="175" t="s">
        <v>153</v>
      </c>
      <c r="B36" s="189" t="s">
        <v>209</v>
      </c>
      <c r="C36" s="173" t="s">
        <v>208</v>
      </c>
      <c r="D36" s="173" t="s">
        <v>181</v>
      </c>
      <c r="E36" s="216"/>
      <c r="F36" s="216"/>
      <c r="G36" s="229"/>
    </row>
    <row r="37" spans="1:7" ht="43.5" customHeight="1">
      <c r="A37" s="175" t="s">
        <v>150</v>
      </c>
      <c r="B37" s="189" t="s">
        <v>207</v>
      </c>
      <c r="C37" s="173" t="s">
        <v>206</v>
      </c>
      <c r="D37" s="173" t="s">
        <v>205</v>
      </c>
      <c r="E37" s="216"/>
      <c r="F37" s="216"/>
      <c r="G37" s="229"/>
    </row>
    <row r="38" spans="1:7" ht="60">
      <c r="A38" s="175" t="s">
        <v>204</v>
      </c>
      <c r="B38" s="189" t="s">
        <v>203</v>
      </c>
      <c r="C38" s="173" t="s">
        <v>202</v>
      </c>
      <c r="D38" s="192" t="s">
        <v>201</v>
      </c>
      <c r="E38" s="217"/>
      <c r="F38" s="217"/>
      <c r="G38" s="230"/>
    </row>
    <row r="39" spans="1:7" ht="60">
      <c r="A39" s="175" t="s">
        <v>200</v>
      </c>
      <c r="B39" s="174" t="s">
        <v>199</v>
      </c>
      <c r="C39" s="173" t="s">
        <v>198</v>
      </c>
      <c r="D39" s="192" t="s">
        <v>197</v>
      </c>
      <c r="E39" s="177">
        <v>0</v>
      </c>
      <c r="F39" s="177">
        <v>55000</v>
      </c>
      <c r="G39" s="171" t="s">
        <v>196</v>
      </c>
    </row>
    <row r="40" spans="1:7" s="168" customFormat="1" ht="66.75" customHeight="1">
      <c r="A40" s="226" t="s">
        <v>195</v>
      </c>
      <c r="B40" s="227"/>
      <c r="C40" s="227"/>
      <c r="D40" s="227"/>
      <c r="E40" s="191">
        <v>67152.444444444438</v>
      </c>
      <c r="F40" s="191">
        <v>32722.222222222223</v>
      </c>
      <c r="G40" s="169"/>
    </row>
    <row r="41" spans="1:7" ht="75">
      <c r="A41" s="175" t="s">
        <v>194</v>
      </c>
      <c r="B41" s="174" t="s">
        <v>193</v>
      </c>
      <c r="C41" s="173" t="s">
        <v>192</v>
      </c>
      <c r="D41" s="173" t="s">
        <v>181</v>
      </c>
      <c r="E41" s="220">
        <v>67152.444444444438</v>
      </c>
      <c r="F41" s="220">
        <v>32722.222222222223</v>
      </c>
      <c r="G41" s="223" t="s">
        <v>191</v>
      </c>
    </row>
    <row r="42" spans="1:7" ht="45">
      <c r="A42" s="175" t="s">
        <v>190</v>
      </c>
      <c r="B42" s="174" t="s">
        <v>189</v>
      </c>
      <c r="C42" s="173" t="s">
        <v>188</v>
      </c>
      <c r="D42" s="173" t="s">
        <v>181</v>
      </c>
      <c r="E42" s="221"/>
      <c r="F42" s="221"/>
      <c r="G42" s="224"/>
    </row>
    <row r="43" spans="1:7" ht="38.25">
      <c r="A43" s="175" t="s">
        <v>187</v>
      </c>
      <c r="B43" s="174" t="s">
        <v>186</v>
      </c>
      <c r="C43" s="173" t="s">
        <v>185</v>
      </c>
      <c r="D43" s="173" t="s">
        <v>181</v>
      </c>
      <c r="E43" s="221"/>
      <c r="F43" s="221"/>
      <c r="G43" s="224"/>
    </row>
    <row r="44" spans="1:7" ht="45.75" customHeight="1">
      <c r="A44" s="175" t="s">
        <v>184</v>
      </c>
      <c r="B44" s="174" t="s">
        <v>183</v>
      </c>
      <c r="C44" s="173" t="s">
        <v>182</v>
      </c>
      <c r="D44" s="173" t="s">
        <v>181</v>
      </c>
      <c r="E44" s="222"/>
      <c r="F44" s="222"/>
      <c r="G44" s="225"/>
    </row>
    <row r="45" spans="1:7" s="168" customFormat="1" ht="47.25" customHeight="1">
      <c r="A45" s="226" t="s">
        <v>180</v>
      </c>
      <c r="B45" s="227"/>
      <c r="C45" s="227"/>
      <c r="D45" s="227"/>
      <c r="E45" s="191">
        <v>2180212</v>
      </c>
      <c r="F45" s="191">
        <v>24929430.550000001</v>
      </c>
      <c r="G45" s="169"/>
    </row>
    <row r="46" spans="1:7">
      <c r="A46" s="175" t="s">
        <v>179</v>
      </c>
      <c r="B46" s="189" t="s">
        <v>178</v>
      </c>
      <c r="C46" s="171"/>
      <c r="D46" s="173"/>
      <c r="E46" s="172"/>
      <c r="F46" s="171"/>
      <c r="G46" s="171"/>
    </row>
    <row r="47" spans="1:7" ht="121.15" customHeight="1">
      <c r="A47" s="175" t="s">
        <v>169</v>
      </c>
      <c r="B47" s="189" t="s">
        <v>177</v>
      </c>
      <c r="C47" s="171"/>
      <c r="D47" s="190" t="s">
        <v>135</v>
      </c>
      <c r="E47" s="177">
        <v>29700</v>
      </c>
      <c r="F47" s="177">
        <v>365000</v>
      </c>
      <c r="G47" s="171" t="s">
        <v>176</v>
      </c>
    </row>
    <row r="48" spans="1:7" ht="45">
      <c r="A48" s="175" t="s">
        <v>165</v>
      </c>
      <c r="B48" s="189" t="s">
        <v>175</v>
      </c>
      <c r="C48" s="171"/>
      <c r="D48" s="173" t="s">
        <v>135</v>
      </c>
      <c r="E48" s="177">
        <v>0</v>
      </c>
      <c r="F48" s="177">
        <v>0</v>
      </c>
      <c r="G48" s="173" t="s">
        <v>139</v>
      </c>
    </row>
    <row r="49" spans="1:7" ht="45">
      <c r="A49" s="175" t="s">
        <v>161</v>
      </c>
      <c r="B49" s="189" t="s">
        <v>174</v>
      </c>
      <c r="C49" s="186"/>
      <c r="D49" s="173" t="s">
        <v>135</v>
      </c>
      <c r="E49" s="177">
        <v>0</v>
      </c>
      <c r="F49" s="177">
        <v>0</v>
      </c>
      <c r="G49" s="173" t="s">
        <v>139</v>
      </c>
    </row>
    <row r="50" spans="1:7" ht="49.5" customHeight="1">
      <c r="A50" s="175" t="s">
        <v>157</v>
      </c>
      <c r="B50" s="188" t="s">
        <v>173</v>
      </c>
      <c r="C50" s="186"/>
      <c r="D50" s="173" t="s">
        <v>135</v>
      </c>
      <c r="E50" s="177">
        <v>10000</v>
      </c>
      <c r="F50" s="177">
        <v>200000</v>
      </c>
      <c r="G50" s="187" t="s">
        <v>172</v>
      </c>
    </row>
    <row r="51" spans="1:7">
      <c r="A51" s="175" t="s">
        <v>171</v>
      </c>
      <c r="B51" s="174" t="s">
        <v>170</v>
      </c>
      <c r="C51" s="186"/>
      <c r="D51" s="173"/>
      <c r="E51" s="177">
        <v>0</v>
      </c>
      <c r="F51" s="177">
        <v>0</v>
      </c>
      <c r="G51" s="171"/>
    </row>
    <row r="52" spans="1:7" ht="30">
      <c r="A52" s="175" t="s">
        <v>169</v>
      </c>
      <c r="B52" s="174" t="s">
        <v>168</v>
      </c>
      <c r="C52" s="186" t="s">
        <v>167</v>
      </c>
      <c r="D52" s="173" t="s">
        <v>135</v>
      </c>
      <c r="E52" s="177">
        <v>67363</v>
      </c>
      <c r="F52" s="177">
        <v>0</v>
      </c>
      <c r="G52" s="184" t="s">
        <v>166</v>
      </c>
    </row>
    <row r="53" spans="1:7" ht="60">
      <c r="A53" s="175" t="s">
        <v>165</v>
      </c>
      <c r="B53" s="174" t="s">
        <v>164</v>
      </c>
      <c r="C53" s="185" t="s">
        <v>163</v>
      </c>
      <c r="D53" s="173" t="s">
        <v>135</v>
      </c>
      <c r="E53" s="177">
        <v>637703</v>
      </c>
      <c r="F53" s="177">
        <v>849477.4</v>
      </c>
      <c r="G53" s="184" t="s">
        <v>162</v>
      </c>
    </row>
    <row r="54" spans="1:7" ht="225">
      <c r="A54" s="175" t="s">
        <v>161</v>
      </c>
      <c r="B54" s="174" t="s">
        <v>160</v>
      </c>
      <c r="C54" s="181" t="s">
        <v>159</v>
      </c>
      <c r="D54" s="173" t="s">
        <v>135</v>
      </c>
      <c r="E54" s="177">
        <v>1435446</v>
      </c>
      <c r="F54" s="177">
        <v>5075953.1500000004</v>
      </c>
      <c r="G54" s="184" t="s">
        <v>158</v>
      </c>
    </row>
    <row r="55" spans="1:7" ht="30">
      <c r="A55" s="175" t="s">
        <v>157</v>
      </c>
      <c r="B55" s="174" t="s">
        <v>156</v>
      </c>
      <c r="C55" s="183" t="s">
        <v>155</v>
      </c>
      <c r="D55" s="173" t="s">
        <v>135</v>
      </c>
      <c r="E55" s="177">
        <v>0</v>
      </c>
      <c r="F55" s="177">
        <v>1175000</v>
      </c>
      <c r="G55" s="173" t="s">
        <v>154</v>
      </c>
    </row>
    <row r="56" spans="1:7">
      <c r="A56" s="175" t="s">
        <v>153</v>
      </c>
      <c r="B56" s="174" t="s">
        <v>152</v>
      </c>
      <c r="C56" s="183" t="s">
        <v>151</v>
      </c>
      <c r="D56" s="173" t="s">
        <v>135</v>
      </c>
      <c r="E56" s="177">
        <v>0</v>
      </c>
      <c r="F56" s="177">
        <v>30000</v>
      </c>
      <c r="G56" s="171" t="s">
        <v>147</v>
      </c>
    </row>
    <row r="57" spans="1:7">
      <c r="A57" s="175" t="s">
        <v>150</v>
      </c>
      <c r="B57" s="174" t="s">
        <v>149</v>
      </c>
      <c r="C57" s="183" t="s">
        <v>148</v>
      </c>
      <c r="D57" s="173" t="s">
        <v>135</v>
      </c>
      <c r="E57" s="177">
        <v>0</v>
      </c>
      <c r="F57" s="177">
        <v>16204000</v>
      </c>
      <c r="G57" s="182" t="s">
        <v>147</v>
      </c>
    </row>
    <row r="58" spans="1:7" ht="30">
      <c r="A58" s="175" t="s">
        <v>146</v>
      </c>
      <c r="B58" s="174" t="s">
        <v>145</v>
      </c>
      <c r="C58" s="181" t="s">
        <v>144</v>
      </c>
      <c r="D58" s="173" t="s">
        <v>135</v>
      </c>
      <c r="E58" s="177">
        <v>0</v>
      </c>
      <c r="F58" s="177">
        <v>1030000</v>
      </c>
      <c r="G58" s="173" t="s">
        <v>143</v>
      </c>
    </row>
    <row r="59" spans="1:7" ht="32.25" customHeight="1">
      <c r="A59" s="175" t="s">
        <v>142</v>
      </c>
      <c r="B59" s="174" t="s">
        <v>141</v>
      </c>
      <c r="C59" s="181" t="s">
        <v>140</v>
      </c>
      <c r="D59" s="173" t="s">
        <v>135</v>
      </c>
      <c r="E59" s="177">
        <v>0</v>
      </c>
      <c r="F59" s="177">
        <v>0</v>
      </c>
      <c r="G59" s="173" t="s">
        <v>139</v>
      </c>
    </row>
    <row r="60" spans="1:7" ht="30.75" customHeight="1">
      <c r="A60" s="180" t="s">
        <v>138</v>
      </c>
      <c r="B60" s="179" t="s">
        <v>137</v>
      </c>
      <c r="C60" s="178" t="s">
        <v>136</v>
      </c>
      <c r="D60" s="178" t="s">
        <v>135</v>
      </c>
      <c r="E60" s="177">
        <v>0</v>
      </c>
      <c r="F60" s="177">
        <v>0</v>
      </c>
      <c r="G60" s="176"/>
    </row>
    <row r="61" spans="1:7">
      <c r="A61" s="175"/>
      <c r="B61" s="174"/>
      <c r="C61" s="171"/>
      <c r="D61" s="173"/>
      <c r="E61" s="172"/>
      <c r="F61" s="171"/>
      <c r="G61" s="171"/>
    </row>
    <row r="62" spans="1:7" s="168" customFormat="1" ht="28.5" customHeight="1">
      <c r="A62" s="218" t="s">
        <v>107</v>
      </c>
      <c r="B62" s="219"/>
      <c r="C62" s="219"/>
      <c r="D62" s="219"/>
      <c r="E62" s="170">
        <v>25509915.183333334</v>
      </c>
      <c r="F62" s="170">
        <v>145627260.21111113</v>
      </c>
      <c r="G62" s="169"/>
    </row>
    <row r="63" spans="1:7" ht="15.75" thickBot="1">
      <c r="A63" s="167"/>
      <c r="B63" s="166"/>
      <c r="C63" s="162"/>
      <c r="D63" s="165"/>
      <c r="E63" s="164"/>
      <c r="F63" s="163"/>
      <c r="G63" s="162"/>
    </row>
    <row r="64" spans="1:7">
      <c r="F64" s="161"/>
    </row>
  </sheetData>
  <mergeCells count="15">
    <mergeCell ref="G41:G44"/>
    <mergeCell ref="A30:D30"/>
    <mergeCell ref="A45:D45"/>
    <mergeCell ref="A40:D40"/>
    <mergeCell ref="A2:D2"/>
    <mergeCell ref="A6:D6"/>
    <mergeCell ref="A12:D12"/>
    <mergeCell ref="A17:D17"/>
    <mergeCell ref="A23:D23"/>
    <mergeCell ref="G32:G38"/>
    <mergeCell ref="A62:D62"/>
    <mergeCell ref="E32:E38"/>
    <mergeCell ref="F32:F38"/>
    <mergeCell ref="E41:E44"/>
    <mergeCell ref="F41:F44"/>
  </mergeCells>
  <pageMargins left="0.7" right="0.7" top="0.75" bottom="0.75" header="0.3" footer="0.3"/>
  <pageSetup scale="7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27"/>
  <sheetViews>
    <sheetView topLeftCell="A7" workbookViewId="0">
      <selection activeCell="B28" sqref="B28"/>
    </sheetView>
  </sheetViews>
  <sheetFormatPr defaultRowHeight="15"/>
  <cols>
    <col min="1" max="1" width="44.140625" customWidth="1"/>
    <col min="2" max="2" width="50.28515625" customWidth="1"/>
    <col min="3" max="3" width="40" customWidth="1"/>
  </cols>
  <sheetData>
    <row r="2" spans="1:3" ht="45">
      <c r="A2" s="149" t="s">
        <v>51</v>
      </c>
      <c r="B2" s="149" t="s">
        <v>134</v>
      </c>
      <c r="C2" s="149" t="s">
        <v>1</v>
      </c>
    </row>
    <row r="3" spans="1:3">
      <c r="A3" s="155" t="s">
        <v>133</v>
      </c>
      <c r="B3" s="154"/>
      <c r="C3" s="154"/>
    </row>
    <row r="4" spans="1:3">
      <c r="A4" s="149" t="s">
        <v>132</v>
      </c>
      <c r="B4" s="149"/>
      <c r="C4" s="149"/>
    </row>
    <row r="5" spans="1:3">
      <c r="A5" s="149" t="s">
        <v>131</v>
      </c>
      <c r="B5" s="149"/>
      <c r="C5" s="149"/>
    </row>
    <row r="6" spans="1:3" ht="14.25" customHeight="1">
      <c r="A6" s="151" t="s">
        <v>130</v>
      </c>
      <c r="B6" s="149"/>
      <c r="C6" s="149"/>
    </row>
    <row r="7" spans="1:3">
      <c r="A7" s="149" t="s">
        <v>129</v>
      </c>
      <c r="B7" s="149"/>
      <c r="C7" s="149"/>
    </row>
    <row r="8" spans="1:3">
      <c r="A8" s="149" t="s">
        <v>122</v>
      </c>
      <c r="B8" s="149"/>
      <c r="C8" s="149"/>
    </row>
    <row r="9" spans="1:3">
      <c r="A9" s="149" t="s">
        <v>128</v>
      </c>
      <c r="B9" s="149"/>
      <c r="C9" s="149"/>
    </row>
    <row r="10" spans="1:3">
      <c r="A10" s="149" t="s">
        <v>127</v>
      </c>
      <c r="B10" s="149"/>
      <c r="C10" s="149"/>
    </row>
    <row r="11" spans="1:3" ht="30">
      <c r="A11" s="151" t="s">
        <v>126</v>
      </c>
      <c r="B11" s="149"/>
      <c r="C11" s="149"/>
    </row>
    <row r="12" spans="1:3">
      <c r="A12" s="149" t="s">
        <v>125</v>
      </c>
      <c r="B12" s="149"/>
      <c r="C12" s="149"/>
    </row>
    <row r="13" spans="1:3">
      <c r="A13" s="149" t="s">
        <v>124</v>
      </c>
      <c r="B13" s="153">
        <v>1100000</v>
      </c>
      <c r="C13" s="149" t="s">
        <v>123</v>
      </c>
    </row>
    <row r="14" spans="1:3">
      <c r="A14" s="149" t="s">
        <v>122</v>
      </c>
      <c r="B14" s="149"/>
      <c r="C14" s="149"/>
    </row>
    <row r="15" spans="1:3" ht="105">
      <c r="A15" s="149" t="s">
        <v>121</v>
      </c>
      <c r="B15" s="150">
        <v>7733000</v>
      </c>
      <c r="C15" s="149"/>
    </row>
    <row r="16" spans="1:3">
      <c r="A16" s="149" t="s">
        <v>120</v>
      </c>
      <c r="B16" s="150">
        <v>1200000</v>
      </c>
      <c r="C16" s="149"/>
    </row>
    <row r="17" spans="1:3">
      <c r="A17" s="149" t="s">
        <v>119</v>
      </c>
      <c r="B17" s="150">
        <v>1800000</v>
      </c>
      <c r="C17" s="149"/>
    </row>
    <row r="18" spans="1:3">
      <c r="A18" s="149"/>
      <c r="B18" s="150"/>
      <c r="C18" s="149"/>
    </row>
    <row r="19" spans="1:3">
      <c r="A19" s="152" t="s">
        <v>118</v>
      </c>
      <c r="B19" s="149"/>
      <c r="C19" s="149"/>
    </row>
    <row r="20" spans="1:3">
      <c r="A20" s="149" t="s">
        <v>117</v>
      </c>
      <c r="B20" s="149"/>
      <c r="C20" s="149"/>
    </row>
    <row r="21" spans="1:3">
      <c r="A21" s="149" t="s">
        <v>6</v>
      </c>
      <c r="B21" s="149"/>
      <c r="C21" s="149"/>
    </row>
    <row r="22" spans="1:3" ht="30">
      <c r="A22" s="149" t="s">
        <v>116</v>
      </c>
      <c r="B22" s="149"/>
      <c r="C22" s="149"/>
    </row>
    <row r="23" spans="1:3">
      <c r="A23" s="149" t="s">
        <v>115</v>
      </c>
      <c r="B23" s="149"/>
      <c r="C23" s="149"/>
    </row>
    <row r="24" spans="1:3">
      <c r="A24" s="151" t="s">
        <v>114</v>
      </c>
      <c r="B24" s="149"/>
      <c r="C24" s="149"/>
    </row>
    <row r="25" spans="1:3">
      <c r="A25" s="149" t="s">
        <v>113</v>
      </c>
      <c r="B25" s="150">
        <f>16204000-5100000</f>
        <v>11104000</v>
      </c>
      <c r="C25" s="149"/>
    </row>
    <row r="26" spans="1:3">
      <c r="A26" s="149" t="s">
        <v>112</v>
      </c>
      <c r="B26" s="150">
        <v>300000</v>
      </c>
      <c r="C26" s="149"/>
    </row>
    <row r="27" spans="1:3" ht="30">
      <c r="A27" s="151" t="s">
        <v>111</v>
      </c>
      <c r="B27" s="150">
        <v>320000</v>
      </c>
      <c r="C27" s="149"/>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26"/>
  <sheetViews>
    <sheetView showGridLines="0" zoomScaleNormal="100" workbookViewId="0">
      <pane xSplit="2" ySplit="12" topLeftCell="C13" activePane="bottomRight" state="frozen"/>
      <selection pane="topRight" activeCell="C1" sqref="C1"/>
      <selection pane="bottomLeft" activeCell="A13" sqref="A13"/>
      <selection pane="bottomRight" activeCell="B13" sqref="B13:B22"/>
    </sheetView>
  </sheetViews>
  <sheetFormatPr defaultRowHeight="15"/>
  <cols>
    <col min="1" max="1" width="1.85546875" customWidth="1"/>
    <col min="2" max="2" width="42" customWidth="1"/>
    <col min="3" max="3" width="14.7109375" customWidth="1"/>
    <col min="4" max="4" width="13.5703125" customWidth="1"/>
    <col min="5" max="5" width="16.140625" customWidth="1"/>
    <col min="6" max="6" width="16.7109375" customWidth="1"/>
    <col min="7" max="7" width="22.85546875" customWidth="1"/>
    <col min="8" max="8" width="14" customWidth="1"/>
    <col min="9" max="9" width="15.7109375" customWidth="1"/>
    <col min="10" max="10" width="75.28515625" customWidth="1"/>
    <col min="11" max="11" width="9.85546875" bestFit="1" customWidth="1"/>
  </cols>
  <sheetData>
    <row r="1" spans="2:11" ht="15.75" thickBot="1">
      <c r="B1" s="148" t="s">
        <v>110</v>
      </c>
    </row>
    <row r="2" spans="2:11" ht="15.75" thickTop="1">
      <c r="B2" s="147" t="s">
        <v>109</v>
      </c>
      <c r="C2" s="103"/>
      <c r="D2" s="103"/>
    </row>
    <row r="3" spans="2:11" ht="15.75" thickBot="1">
      <c r="B3" s="103"/>
      <c r="C3" s="103"/>
      <c r="D3" s="103"/>
    </row>
    <row r="4" spans="2:11" ht="27" thickBot="1">
      <c r="B4" s="146" t="s">
        <v>108</v>
      </c>
      <c r="C4" s="145" t="s">
        <v>107</v>
      </c>
      <c r="D4" s="144" t="s">
        <v>106</v>
      </c>
    </row>
    <row r="5" spans="2:11" ht="15.75" thickBot="1">
      <c r="B5" s="143"/>
      <c r="C5" s="142">
        <f>4000*30*C10</f>
        <v>1920000</v>
      </c>
      <c r="D5" s="141">
        <f>C5*15%</f>
        <v>288000</v>
      </c>
    </row>
    <row r="6" spans="2:11" ht="15.75" thickBot="1">
      <c r="B6" s="140"/>
      <c r="C6" s="139"/>
      <c r="D6" s="138"/>
    </row>
    <row r="7" spans="2:11" ht="15.75" thickBot="1">
      <c r="B7" s="137" t="s">
        <v>105</v>
      </c>
      <c r="C7" s="136" t="s">
        <v>104</v>
      </c>
      <c r="D7" s="135" t="s">
        <v>103</v>
      </c>
    </row>
    <row r="8" spans="2:11" ht="15.75" thickBot="1">
      <c r="B8" s="134">
        <v>332</v>
      </c>
      <c r="C8" s="133">
        <v>235</v>
      </c>
      <c r="D8" s="132">
        <v>97</v>
      </c>
    </row>
    <row r="9" spans="2:11">
      <c r="B9" s="103"/>
      <c r="C9" s="103"/>
      <c r="D9" s="103"/>
    </row>
    <row r="10" spans="2:11" ht="15.75" thickBot="1">
      <c r="B10" s="131" t="s">
        <v>102</v>
      </c>
      <c r="C10" s="130">
        <v>16</v>
      </c>
      <c r="D10" s="103"/>
      <c r="F10" s="129" t="s">
        <v>101</v>
      </c>
    </row>
    <row r="11" spans="2:11" ht="15.75" thickBot="1">
      <c r="D11" s="128"/>
      <c r="H11" s="127" t="s">
        <v>100</v>
      </c>
      <c r="I11" s="126">
        <f>SUM(I13:I26)</f>
        <v>53106750</v>
      </c>
    </row>
    <row r="12" spans="2:11" ht="78" customHeight="1">
      <c r="B12" s="125" t="s">
        <v>99</v>
      </c>
      <c r="C12" s="123" t="s">
        <v>98</v>
      </c>
      <c r="D12" s="124" t="s">
        <v>97</v>
      </c>
      <c r="E12" s="123" t="s">
        <v>96</v>
      </c>
      <c r="F12" s="123" t="s">
        <v>95</v>
      </c>
      <c r="G12" s="122" t="s">
        <v>94</v>
      </c>
      <c r="H12" s="123" t="s">
        <v>93</v>
      </c>
      <c r="I12" s="122" t="s">
        <v>92</v>
      </c>
      <c r="J12" s="121" t="s">
        <v>91</v>
      </c>
    </row>
    <row r="13" spans="2:11" ht="26.25" customHeight="1">
      <c r="B13" s="120" t="s">
        <v>90</v>
      </c>
      <c r="C13" s="118" t="s">
        <v>89</v>
      </c>
      <c r="D13" s="117">
        <f>B8*0.3*C10*30+3000*C10</f>
        <v>95808</v>
      </c>
      <c r="E13" s="116">
        <v>800</v>
      </c>
      <c r="F13" s="116">
        <v>10000</v>
      </c>
      <c r="G13" s="114">
        <f t="shared" ref="G13:G22" si="0">IF(D13-F13-E13&lt;0,0,D13-F13-E13)</f>
        <v>85008</v>
      </c>
      <c r="H13" s="115">
        <v>30</v>
      </c>
      <c r="I13" s="114">
        <f t="shared" ref="I13:I22" si="1">H13*G13</f>
        <v>2550240</v>
      </c>
      <c r="J13" s="113" t="s">
        <v>88</v>
      </c>
      <c r="K13" s="105"/>
    </row>
    <row r="14" spans="2:11">
      <c r="B14" s="120" t="s">
        <v>54</v>
      </c>
      <c r="C14" s="118" t="s">
        <v>72</v>
      </c>
      <c r="D14" s="117">
        <f>D5*3*40%</f>
        <v>345600</v>
      </c>
      <c r="E14" s="116">
        <v>25000</v>
      </c>
      <c r="F14" s="116">
        <v>0</v>
      </c>
      <c r="G14" s="114">
        <f t="shared" si="0"/>
        <v>320600</v>
      </c>
      <c r="H14" s="115">
        <v>35</v>
      </c>
      <c r="I14" s="114">
        <f t="shared" si="1"/>
        <v>11221000</v>
      </c>
      <c r="J14" s="113" t="s">
        <v>87</v>
      </c>
      <c r="K14" s="105"/>
    </row>
    <row r="15" spans="2:11">
      <c r="B15" s="120" t="s">
        <v>86</v>
      </c>
      <c r="C15" s="118" t="s">
        <v>72</v>
      </c>
      <c r="D15" s="117">
        <f>D14</f>
        <v>345600</v>
      </c>
      <c r="E15" s="116">
        <v>80000</v>
      </c>
      <c r="F15" s="116">
        <v>30000</v>
      </c>
      <c r="G15" s="114">
        <f t="shared" si="0"/>
        <v>235600</v>
      </c>
      <c r="H15" s="115">
        <v>6</v>
      </c>
      <c r="I15" s="114">
        <f t="shared" si="1"/>
        <v>1413600</v>
      </c>
      <c r="J15" s="113" t="s">
        <v>84</v>
      </c>
      <c r="K15" s="105"/>
    </row>
    <row r="16" spans="2:11">
      <c r="B16" s="120" t="s">
        <v>85</v>
      </c>
      <c r="C16" s="118" t="s">
        <v>76</v>
      </c>
      <c r="D16" s="117">
        <f>D14</f>
        <v>345600</v>
      </c>
      <c r="E16" s="116">
        <v>25000</v>
      </c>
      <c r="F16" s="116">
        <v>0</v>
      </c>
      <c r="G16" s="114">
        <f t="shared" si="0"/>
        <v>320600</v>
      </c>
      <c r="H16" s="115">
        <v>6</v>
      </c>
      <c r="I16" s="114">
        <f t="shared" si="1"/>
        <v>1923600</v>
      </c>
      <c r="J16" s="113" t="s">
        <v>84</v>
      </c>
      <c r="K16" s="105"/>
    </row>
    <row r="17" spans="2:11" ht="31.5" customHeight="1">
      <c r="B17" s="120" t="s">
        <v>83</v>
      </c>
      <c r="C17" s="118" t="s">
        <v>72</v>
      </c>
      <c r="D17" s="117">
        <f>C5*3+3000*5*C10*30</f>
        <v>12960000</v>
      </c>
      <c r="E17" s="116">
        <v>900000</v>
      </c>
      <c r="F17" s="116">
        <v>3000000</v>
      </c>
      <c r="G17" s="114">
        <f t="shared" si="0"/>
        <v>9060000</v>
      </c>
      <c r="H17" s="115">
        <v>1.5</v>
      </c>
      <c r="I17" s="114">
        <f t="shared" si="1"/>
        <v>13590000</v>
      </c>
      <c r="J17" s="113" t="s">
        <v>82</v>
      </c>
      <c r="K17" s="105"/>
    </row>
    <row r="18" spans="2:11" ht="31.5" customHeight="1">
      <c r="B18" s="120" t="s">
        <v>81</v>
      </c>
      <c r="C18" s="118" t="s">
        <v>76</v>
      </c>
      <c r="D18" s="117">
        <f>D17</f>
        <v>12960000</v>
      </c>
      <c r="E18" s="116">
        <v>3000</v>
      </c>
      <c r="F18" s="116">
        <v>3000000</v>
      </c>
      <c r="G18" s="114">
        <f t="shared" si="0"/>
        <v>9957000</v>
      </c>
      <c r="H18" s="115">
        <v>0.8</v>
      </c>
      <c r="I18" s="114">
        <f t="shared" si="1"/>
        <v>7965600</v>
      </c>
      <c r="J18" s="113" t="s">
        <v>80</v>
      </c>
      <c r="K18" s="105"/>
    </row>
    <row r="19" spans="2:11" ht="25.5">
      <c r="B19" s="120" t="s">
        <v>79</v>
      </c>
      <c r="C19" s="118" t="s">
        <v>72</v>
      </c>
      <c r="D19" s="117">
        <f>C5+3000*1*30*C10</f>
        <v>3360000</v>
      </c>
      <c r="E19" s="116">
        <v>5000</v>
      </c>
      <c r="F19" s="116">
        <v>2000000</v>
      </c>
      <c r="G19" s="114">
        <f t="shared" si="0"/>
        <v>1355000</v>
      </c>
      <c r="H19" s="115">
        <v>10</v>
      </c>
      <c r="I19" s="114">
        <f t="shared" si="1"/>
        <v>13550000</v>
      </c>
      <c r="J19" s="113" t="s">
        <v>78</v>
      </c>
      <c r="K19" s="105"/>
    </row>
    <row r="20" spans="2:11" ht="25.5">
      <c r="B20" s="119" t="s">
        <v>77</v>
      </c>
      <c r="C20" s="118" t="s">
        <v>76</v>
      </c>
      <c r="D20" s="117">
        <f>D19</f>
        <v>3360000</v>
      </c>
      <c r="E20" s="116">
        <v>25000</v>
      </c>
      <c r="F20" s="116">
        <v>50000</v>
      </c>
      <c r="G20" s="114">
        <f t="shared" si="0"/>
        <v>3285000</v>
      </c>
      <c r="H20" s="115">
        <v>0.15</v>
      </c>
      <c r="I20" s="114">
        <f t="shared" si="1"/>
        <v>492750</v>
      </c>
      <c r="J20" s="113" t="s">
        <v>74</v>
      </c>
      <c r="K20" s="105"/>
    </row>
    <row r="21" spans="2:11" ht="25.5">
      <c r="B21" s="119" t="s">
        <v>75</v>
      </c>
      <c r="C21" s="118" t="s">
        <v>72</v>
      </c>
      <c r="D21" s="117">
        <f>D19</f>
        <v>3360000</v>
      </c>
      <c r="E21" s="116">
        <v>7000</v>
      </c>
      <c r="F21" s="116">
        <v>20000</v>
      </c>
      <c r="G21" s="114">
        <f t="shared" si="0"/>
        <v>3333000</v>
      </c>
      <c r="H21" s="115">
        <v>0.12</v>
      </c>
      <c r="I21" s="114">
        <f t="shared" si="1"/>
        <v>399960</v>
      </c>
      <c r="J21" s="113" t="s">
        <v>74</v>
      </c>
      <c r="K21" s="105"/>
    </row>
    <row r="22" spans="2:11" ht="15.75" thickBot="1">
      <c r="B22" s="112" t="s">
        <v>73</v>
      </c>
      <c r="C22" s="111" t="s">
        <v>72</v>
      </c>
      <c r="D22" s="110">
        <f>B8*3*32</f>
        <v>31872</v>
      </c>
      <c r="E22" s="109">
        <v>5000</v>
      </c>
      <c r="F22" s="109">
        <v>40000</v>
      </c>
      <c r="G22" s="107">
        <f t="shared" si="0"/>
        <v>0</v>
      </c>
      <c r="H22" s="108">
        <v>4</v>
      </c>
      <c r="I22" s="107">
        <f t="shared" si="1"/>
        <v>0</v>
      </c>
      <c r="J22" s="106" t="s">
        <v>71</v>
      </c>
      <c r="K22" s="105"/>
    </row>
    <row r="23" spans="2:11">
      <c r="B23" s="103"/>
      <c r="C23" s="103"/>
      <c r="D23" s="103"/>
      <c r="E23" s="103"/>
      <c r="F23" s="103"/>
      <c r="G23" s="103"/>
      <c r="J23" s="103"/>
    </row>
    <row r="24" spans="2:11">
      <c r="B24" s="103"/>
      <c r="C24" s="103"/>
      <c r="D24" s="103"/>
      <c r="E24" s="103"/>
      <c r="F24" s="103"/>
      <c r="G24" s="103"/>
      <c r="H24" s="103"/>
      <c r="I24" s="103"/>
      <c r="J24" s="103"/>
    </row>
    <row r="25" spans="2:11">
      <c r="B25" s="103"/>
      <c r="C25" s="103"/>
      <c r="D25" s="103"/>
      <c r="E25" s="103"/>
      <c r="F25" s="104"/>
      <c r="G25" s="104"/>
      <c r="H25" s="103"/>
      <c r="I25" s="103"/>
      <c r="J25" s="103"/>
    </row>
    <row r="26" spans="2:11">
      <c r="B26" s="103"/>
      <c r="C26" s="103"/>
      <c r="D26" s="103"/>
      <c r="E26" s="103"/>
      <c r="F26" s="104"/>
      <c r="G26" s="104"/>
      <c r="H26" s="103"/>
      <c r="I26" s="103"/>
      <c r="J26" s="103"/>
    </row>
  </sheetData>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7"/>
  <sheetViews>
    <sheetView view="pageBreakPreview" zoomScale="90" zoomScaleNormal="100" zoomScaleSheetLayoutView="90" workbookViewId="0">
      <pane xSplit="1" ySplit="2" topLeftCell="B36" activePane="bottomRight" state="frozen"/>
      <selection pane="topRight" activeCell="B1" sqref="B1"/>
      <selection pane="bottomLeft" activeCell="A3" sqref="A3"/>
      <selection pane="bottomRight" activeCell="B33" sqref="B33:B47"/>
    </sheetView>
  </sheetViews>
  <sheetFormatPr defaultRowHeight="15"/>
  <cols>
    <col min="1" max="1" width="57.7109375" customWidth="1"/>
    <col min="2" max="2" width="22.5703125" style="2" customWidth="1"/>
    <col min="3" max="3" width="19.28515625" bestFit="1" customWidth="1"/>
    <col min="4" max="4" width="16.140625" style="2" customWidth="1"/>
    <col min="5" max="5" width="15.140625" style="2" customWidth="1"/>
    <col min="6" max="6" width="16" style="54" customWidth="1"/>
    <col min="8" max="8" width="11.5703125" style="97" customWidth="1"/>
    <col min="10" max="10" width="13.5703125" bestFit="1" customWidth="1"/>
  </cols>
  <sheetData>
    <row r="1" spans="1:10" ht="15.75" thickBot="1"/>
    <row r="2" spans="1:10" ht="81.95" customHeight="1" thickBot="1">
      <c r="A2" s="4" t="s">
        <v>51</v>
      </c>
      <c r="B2" s="6" t="s">
        <v>0</v>
      </c>
      <c r="C2" s="5" t="s">
        <v>1</v>
      </c>
      <c r="D2" s="83" t="s">
        <v>65</v>
      </c>
      <c r="E2" s="68" t="s">
        <v>66</v>
      </c>
      <c r="F2" s="55" t="s">
        <v>16</v>
      </c>
      <c r="H2" s="102">
        <f>H6+H12+H18+H30</f>
        <v>2268560</v>
      </c>
      <c r="J2" s="53"/>
    </row>
    <row r="3" spans="1:10" ht="15.75" thickBot="1">
      <c r="A3" s="7" t="s">
        <v>2</v>
      </c>
      <c r="B3" s="39"/>
      <c r="C3" s="8"/>
      <c r="D3" s="84"/>
      <c r="E3" s="69"/>
      <c r="F3" s="65"/>
      <c r="H3" s="102"/>
    </row>
    <row r="4" spans="1:10" ht="15.75" thickBot="1">
      <c r="A4" s="9" t="s">
        <v>3</v>
      </c>
      <c r="B4" s="39"/>
      <c r="C4" s="8"/>
      <c r="D4" s="84"/>
      <c r="E4" s="69"/>
      <c r="F4" s="65"/>
      <c r="G4" s="3"/>
      <c r="H4" s="102"/>
    </row>
    <row r="5" spans="1:10" ht="15.75" thickBot="1">
      <c r="A5" s="10" t="s">
        <v>9</v>
      </c>
      <c r="B5" s="40"/>
      <c r="C5" s="11"/>
      <c r="D5" s="85"/>
      <c r="E5" s="70"/>
      <c r="F5" s="64"/>
      <c r="H5" s="102"/>
    </row>
    <row r="6" spans="1:10">
      <c r="A6" s="12" t="s">
        <v>8</v>
      </c>
      <c r="B6" s="41">
        <f t="shared" ref="B6:B11" si="0">D6*F6</f>
        <v>28066499.999999996</v>
      </c>
      <c r="C6" s="13"/>
      <c r="D6" s="86">
        <f>E6*3</f>
        <v>450000</v>
      </c>
      <c r="E6" s="71">
        <f>150*1000</f>
        <v>150000</v>
      </c>
      <c r="F6" s="57">
        <f>18900/1000*3.3</f>
        <v>62.36999999999999</v>
      </c>
      <c r="H6" s="102">
        <f>D6</f>
        <v>450000</v>
      </c>
    </row>
    <row r="7" spans="1:10" ht="30">
      <c r="A7" s="14" t="s">
        <v>10</v>
      </c>
      <c r="B7" s="42">
        <f t="shared" si="0"/>
        <v>5197500</v>
      </c>
      <c r="C7" s="15"/>
      <c r="D7" s="87">
        <f t="shared" ref="D7:D31" si="1">E7*3</f>
        <v>450</v>
      </c>
      <c r="E7" s="72">
        <v>150</v>
      </c>
      <c r="F7" s="58">
        <f>3500*3.3</f>
        <v>11550</v>
      </c>
      <c r="H7" s="102"/>
    </row>
    <row r="8" spans="1:10" ht="30">
      <c r="A8" s="14" t="s">
        <v>11</v>
      </c>
      <c r="B8" s="42">
        <f t="shared" si="0"/>
        <v>1158300</v>
      </c>
      <c r="C8" s="15"/>
      <c r="D8" s="87">
        <f t="shared" si="1"/>
        <v>1500</v>
      </c>
      <c r="E8" s="72">
        <v>500</v>
      </c>
      <c r="F8" s="58">
        <f>234*3.3</f>
        <v>772.19999999999993</v>
      </c>
      <c r="H8" s="102"/>
    </row>
    <row r="9" spans="1:10">
      <c r="A9" s="14" t="s">
        <v>12</v>
      </c>
      <c r="B9" s="42">
        <f t="shared" si="0"/>
        <v>326700</v>
      </c>
      <c r="C9" s="15"/>
      <c r="D9" s="87">
        <f t="shared" si="1"/>
        <v>600</v>
      </c>
      <c r="E9" s="72">
        <v>200</v>
      </c>
      <c r="F9" s="58">
        <f>165*3.3</f>
        <v>544.5</v>
      </c>
      <c r="H9" s="102"/>
    </row>
    <row r="10" spans="1:10">
      <c r="A10" s="14" t="s">
        <v>13</v>
      </c>
      <c r="B10" s="42">
        <f t="shared" si="0"/>
        <v>2257200</v>
      </c>
      <c r="C10" s="15"/>
      <c r="D10" s="87">
        <f t="shared" si="1"/>
        <v>1200</v>
      </c>
      <c r="E10" s="72">
        <v>400</v>
      </c>
      <c r="F10" s="58">
        <f>570*3.3</f>
        <v>1881</v>
      </c>
      <c r="H10" s="102"/>
    </row>
    <row r="11" spans="1:10" ht="30.75" thickBot="1">
      <c r="A11" s="16" t="s">
        <v>14</v>
      </c>
      <c r="B11" s="43">
        <f t="shared" si="0"/>
        <v>2450250</v>
      </c>
      <c r="C11" s="17"/>
      <c r="D11" s="88">
        <f t="shared" si="1"/>
        <v>2700</v>
      </c>
      <c r="E11" s="73">
        <v>900</v>
      </c>
      <c r="F11" s="59">
        <f>275*3.3</f>
        <v>907.5</v>
      </c>
      <c r="H11" s="102"/>
    </row>
    <row r="12" spans="1:10" ht="15.75" thickBot="1">
      <c r="A12" s="18" t="s">
        <v>15</v>
      </c>
      <c r="B12" s="40">
        <f>D12*F12</f>
        <v>33264000</v>
      </c>
      <c r="C12" s="11"/>
      <c r="D12" s="85">
        <f t="shared" si="1"/>
        <v>1008000</v>
      </c>
      <c r="E12" s="70">
        <f>7000*48</f>
        <v>336000</v>
      </c>
      <c r="F12" s="64">
        <v>33</v>
      </c>
      <c r="H12" s="102">
        <f>D12</f>
        <v>1008000</v>
      </c>
    </row>
    <row r="13" spans="1:10" ht="15.75" thickBot="1">
      <c r="A13" s="18" t="s">
        <v>17</v>
      </c>
      <c r="B13" s="40"/>
      <c r="C13" s="11"/>
      <c r="D13" s="85"/>
      <c r="E13" s="70"/>
      <c r="F13" s="64"/>
      <c r="H13" s="102"/>
    </row>
    <row r="14" spans="1:10">
      <c r="A14" s="12" t="s">
        <v>18</v>
      </c>
      <c r="B14" s="41">
        <f>D14*F14</f>
        <v>7560000</v>
      </c>
      <c r="C14" s="13"/>
      <c r="D14" s="86">
        <f t="shared" si="1"/>
        <v>450000</v>
      </c>
      <c r="E14" s="71">
        <f>600*250</f>
        <v>150000</v>
      </c>
      <c r="F14" s="57">
        <f>4200/250</f>
        <v>16.8</v>
      </c>
      <c r="H14" s="102"/>
    </row>
    <row r="15" spans="1:10">
      <c r="A15" s="14" t="s">
        <v>19</v>
      </c>
      <c r="B15" s="42">
        <f>D15*F15</f>
        <v>337.5</v>
      </c>
      <c r="C15" s="15"/>
      <c r="D15" s="87">
        <f t="shared" si="1"/>
        <v>450</v>
      </c>
      <c r="E15" s="72">
        <v>150</v>
      </c>
      <c r="F15" s="58">
        <v>0.75</v>
      </c>
      <c r="H15" s="102"/>
    </row>
    <row r="16" spans="1:10" ht="15.75" thickBot="1">
      <c r="A16" s="19" t="s">
        <v>20</v>
      </c>
      <c r="B16" s="44">
        <f>D16*F16</f>
        <v>3486600</v>
      </c>
      <c r="C16" s="20"/>
      <c r="D16" s="89">
        <f t="shared" si="1"/>
        <v>300000</v>
      </c>
      <c r="E16" s="74">
        <f>1000*100</f>
        <v>100000</v>
      </c>
      <c r="F16" s="60">
        <f>2.98*3.9</f>
        <v>11.622</v>
      </c>
      <c r="H16" s="102"/>
    </row>
    <row r="17" spans="1:10" ht="15.75" thickBot="1">
      <c r="A17" s="21" t="s">
        <v>33</v>
      </c>
      <c r="B17" s="45"/>
      <c r="C17" s="22"/>
      <c r="D17" s="90"/>
      <c r="E17" s="75"/>
      <c r="F17" s="66"/>
      <c r="H17" s="102"/>
    </row>
    <row r="18" spans="1:10">
      <c r="A18" s="23" t="s">
        <v>21</v>
      </c>
      <c r="B18" s="46">
        <f>F18*D18</f>
        <v>37206000</v>
      </c>
      <c r="C18" s="24"/>
      <c r="D18" s="91">
        <f t="shared" si="1"/>
        <v>3180</v>
      </c>
      <c r="E18" s="76">
        <v>1060</v>
      </c>
      <c r="F18" s="61">
        <f>3000*3.9</f>
        <v>11700</v>
      </c>
      <c r="H18" s="102">
        <f>203520*3</f>
        <v>610560</v>
      </c>
    </row>
    <row r="19" spans="1:10">
      <c r="A19" s="25" t="s">
        <v>22</v>
      </c>
      <c r="B19" s="47">
        <f t="shared" ref="B19:B29" si="2">F19*D19</f>
        <v>3042000</v>
      </c>
      <c r="C19" s="26"/>
      <c r="D19" s="92">
        <f t="shared" si="1"/>
        <v>390</v>
      </c>
      <c r="E19" s="77">
        <v>130</v>
      </c>
      <c r="F19" s="62">
        <f>2000*3.9</f>
        <v>7800</v>
      </c>
      <c r="H19" s="102"/>
      <c r="J19" s="1"/>
    </row>
    <row r="20" spans="1:10">
      <c r="A20" s="25" t="s">
        <v>23</v>
      </c>
      <c r="B20" s="47">
        <f t="shared" si="2"/>
        <v>979524</v>
      </c>
      <c r="C20" s="26"/>
      <c r="D20" s="92">
        <f t="shared" si="1"/>
        <v>390</v>
      </c>
      <c r="E20" s="77">
        <v>130</v>
      </c>
      <c r="F20" s="62">
        <f>644*3.9</f>
        <v>2511.6</v>
      </c>
      <c r="H20" s="102"/>
    </row>
    <row r="21" spans="1:10">
      <c r="A21" s="25" t="s">
        <v>24</v>
      </c>
      <c r="B21" s="47">
        <f t="shared" si="2"/>
        <v>500409</v>
      </c>
      <c r="C21" s="26"/>
      <c r="D21" s="92">
        <f t="shared" si="1"/>
        <v>210</v>
      </c>
      <c r="E21" s="77">
        <v>70</v>
      </c>
      <c r="F21" s="62">
        <f>611*3.9</f>
        <v>2382.9</v>
      </c>
      <c r="H21" s="102"/>
    </row>
    <row r="22" spans="1:10">
      <c r="A22" s="25" t="s">
        <v>25</v>
      </c>
      <c r="B22" s="47">
        <f t="shared" si="2"/>
        <v>606060</v>
      </c>
      <c r="C22" s="26"/>
      <c r="D22" s="92">
        <f t="shared" si="1"/>
        <v>420</v>
      </c>
      <c r="E22" s="77">
        <v>140</v>
      </c>
      <c r="F22" s="62">
        <f>370*3.9</f>
        <v>1443</v>
      </c>
      <c r="H22" s="102"/>
    </row>
    <row r="23" spans="1:10">
      <c r="A23" s="25" t="s">
        <v>26</v>
      </c>
      <c r="B23" s="47">
        <f t="shared" si="2"/>
        <v>783432</v>
      </c>
      <c r="C23" s="26"/>
      <c r="D23" s="92">
        <f t="shared" si="1"/>
        <v>540</v>
      </c>
      <c r="E23" s="77">
        <v>180</v>
      </c>
      <c r="F23" s="62">
        <f>372*3.9</f>
        <v>1450.8</v>
      </c>
      <c r="H23" s="102"/>
    </row>
    <row r="24" spans="1:10">
      <c r="A24" s="25" t="s">
        <v>27</v>
      </c>
      <c r="B24" s="47">
        <f t="shared" si="2"/>
        <v>2291328</v>
      </c>
      <c r="C24" s="26"/>
      <c r="D24" s="92">
        <f t="shared" si="1"/>
        <v>540</v>
      </c>
      <c r="E24" s="77">
        <v>180</v>
      </c>
      <c r="F24" s="62">
        <f>1088*3.9</f>
        <v>4243.2</v>
      </c>
      <c r="H24" s="102"/>
    </row>
    <row r="25" spans="1:10">
      <c r="A25" s="25" t="s">
        <v>28</v>
      </c>
      <c r="B25" s="47">
        <f t="shared" si="2"/>
        <v>766584</v>
      </c>
      <c r="C25" s="26"/>
      <c r="D25" s="92">
        <f t="shared" si="1"/>
        <v>210</v>
      </c>
      <c r="E25" s="77">
        <v>70</v>
      </c>
      <c r="F25" s="62">
        <f>936*3.9</f>
        <v>3650.4</v>
      </c>
      <c r="H25" s="102"/>
    </row>
    <row r="26" spans="1:10">
      <c r="A26" s="25" t="s">
        <v>29</v>
      </c>
      <c r="B26" s="47">
        <f t="shared" si="2"/>
        <v>1137006</v>
      </c>
      <c r="C26" s="26"/>
      <c r="D26" s="92">
        <f t="shared" si="1"/>
        <v>1290</v>
      </c>
      <c r="E26" s="77">
        <v>430</v>
      </c>
      <c r="F26" s="62">
        <f>226*3.9</f>
        <v>881.4</v>
      </c>
      <c r="H26" s="102"/>
    </row>
    <row r="27" spans="1:10">
      <c r="A27" s="25" t="s">
        <v>30</v>
      </c>
      <c r="B27" s="47">
        <f t="shared" si="2"/>
        <v>3249324</v>
      </c>
      <c r="C27" s="26"/>
      <c r="D27" s="92">
        <f t="shared" si="1"/>
        <v>3180</v>
      </c>
      <c r="E27" s="77">
        <v>1060</v>
      </c>
      <c r="F27" s="62">
        <f>262*3.9</f>
        <v>1021.8</v>
      </c>
      <c r="H27" s="102"/>
    </row>
    <row r="28" spans="1:10">
      <c r="A28" s="25" t="s">
        <v>31</v>
      </c>
      <c r="B28" s="47">
        <f t="shared" si="2"/>
        <v>928980</v>
      </c>
      <c r="C28" s="26"/>
      <c r="D28" s="92">
        <f t="shared" si="1"/>
        <v>600</v>
      </c>
      <c r="E28" s="77">
        <v>200</v>
      </c>
      <c r="F28" s="62">
        <f>397*3.9</f>
        <v>1548.3</v>
      </c>
      <c r="H28" s="102"/>
    </row>
    <row r="29" spans="1:10" ht="15.75" thickBot="1">
      <c r="A29" s="27" t="s">
        <v>32</v>
      </c>
      <c r="B29" s="48">
        <f t="shared" si="2"/>
        <v>2410317</v>
      </c>
      <c r="C29" s="28"/>
      <c r="D29" s="93">
        <f t="shared" si="1"/>
        <v>810</v>
      </c>
      <c r="E29" s="78">
        <v>270</v>
      </c>
      <c r="F29" s="63">
        <f>763*3.9</f>
        <v>2975.7</v>
      </c>
      <c r="H29" s="102"/>
    </row>
    <row r="30" spans="1:10" ht="15.75" thickBot="1">
      <c r="A30" s="21" t="s">
        <v>48</v>
      </c>
      <c r="B30" s="49">
        <f>F30*D30</f>
        <v>13127400</v>
      </c>
      <c r="C30" s="29"/>
      <c r="D30" s="90">
        <v>200000</v>
      </c>
      <c r="E30" s="79"/>
      <c r="F30" s="64">
        <f>(106920+486)/5400*3.3</f>
        <v>65.637</v>
      </c>
      <c r="H30" s="102">
        <f>D30</f>
        <v>200000</v>
      </c>
    </row>
    <row r="31" spans="1:10" ht="15.75" thickBot="1">
      <c r="A31" s="21" t="s">
        <v>47</v>
      </c>
      <c r="B31" s="45">
        <f>D31*F31</f>
        <v>29699999.999999996</v>
      </c>
      <c r="C31" s="22"/>
      <c r="D31" s="90">
        <f t="shared" si="1"/>
        <v>1500000</v>
      </c>
      <c r="E31" s="75">
        <v>500000</v>
      </c>
      <c r="F31" s="66">
        <f>6*3.3</f>
        <v>19.799999999999997</v>
      </c>
      <c r="H31" s="102">
        <f>D31</f>
        <v>1500000</v>
      </c>
    </row>
    <row r="32" spans="1:10" ht="15.75" thickBot="1">
      <c r="A32" s="9" t="s">
        <v>4</v>
      </c>
      <c r="B32" s="39"/>
      <c r="C32" s="8"/>
      <c r="D32" s="84"/>
      <c r="E32" s="69"/>
      <c r="F32" s="65"/>
      <c r="H32" s="102"/>
    </row>
    <row r="33" spans="1:8">
      <c r="A33" s="30" t="s">
        <v>49</v>
      </c>
      <c r="B33" s="50">
        <f>D33*F33</f>
        <v>2250000</v>
      </c>
      <c r="C33" s="31"/>
      <c r="D33" s="94">
        <v>5000000</v>
      </c>
      <c r="E33" s="80"/>
      <c r="F33" s="57">
        <v>0.45</v>
      </c>
      <c r="H33" s="102"/>
    </row>
    <row r="34" spans="1:8">
      <c r="A34" s="32" t="s">
        <v>50</v>
      </c>
      <c r="B34" s="51">
        <f>D34*F34</f>
        <v>1625000</v>
      </c>
      <c r="C34" s="33"/>
      <c r="D34" s="95">
        <v>2500000</v>
      </c>
      <c r="E34" s="81"/>
      <c r="F34" s="58">
        <v>0.65</v>
      </c>
    </row>
    <row r="35" spans="1:8">
      <c r="A35" s="32" t="s">
        <v>34</v>
      </c>
      <c r="B35" s="51">
        <f t="shared" ref="B35:B46" si="3">D35*F35</f>
        <v>0</v>
      </c>
      <c r="C35" s="33"/>
      <c r="D35" s="95">
        <f>E35*3</f>
        <v>1500</v>
      </c>
      <c r="E35" s="81">
        <v>500</v>
      </c>
      <c r="F35" s="58"/>
    </row>
    <row r="36" spans="1:8">
      <c r="A36" s="32" t="s">
        <v>35</v>
      </c>
      <c r="B36" s="51">
        <f t="shared" si="3"/>
        <v>0</v>
      </c>
      <c r="C36" s="33"/>
      <c r="D36" s="95">
        <f t="shared" ref="D36:D47" si="4">E36*3</f>
        <v>150</v>
      </c>
      <c r="E36" s="81">
        <v>50</v>
      </c>
      <c r="F36" s="58"/>
    </row>
    <row r="37" spans="1:8">
      <c r="A37" s="32" t="s">
        <v>36</v>
      </c>
      <c r="B37" s="51">
        <f t="shared" si="3"/>
        <v>0</v>
      </c>
      <c r="C37" s="33"/>
      <c r="D37" s="95">
        <f t="shared" si="4"/>
        <v>4500</v>
      </c>
      <c r="E37" s="81">
        <v>1500</v>
      </c>
      <c r="F37" s="58"/>
    </row>
    <row r="38" spans="1:8">
      <c r="A38" s="32" t="s">
        <v>37</v>
      </c>
      <c r="B38" s="51">
        <f t="shared" si="3"/>
        <v>0</v>
      </c>
      <c r="C38" s="33"/>
      <c r="D38" s="95">
        <f t="shared" si="4"/>
        <v>4500</v>
      </c>
      <c r="E38" s="81">
        <v>1500</v>
      </c>
      <c r="F38" s="58"/>
    </row>
    <row r="39" spans="1:8" ht="30">
      <c r="A39" s="32" t="s">
        <v>38</v>
      </c>
      <c r="B39" s="51">
        <f t="shared" si="3"/>
        <v>0</v>
      </c>
      <c r="C39" s="33"/>
      <c r="D39" s="95">
        <f t="shared" si="4"/>
        <v>4500</v>
      </c>
      <c r="E39" s="81">
        <v>1500</v>
      </c>
      <c r="F39" s="58"/>
    </row>
    <row r="40" spans="1:8" ht="30">
      <c r="A40" s="32" t="s">
        <v>39</v>
      </c>
      <c r="B40" s="51">
        <f t="shared" si="3"/>
        <v>22860</v>
      </c>
      <c r="C40" s="33"/>
      <c r="D40" s="95">
        <f t="shared" si="4"/>
        <v>18000</v>
      </c>
      <c r="E40" s="81">
        <v>6000</v>
      </c>
      <c r="F40" s="58">
        <v>1.27</v>
      </c>
    </row>
    <row r="41" spans="1:8">
      <c r="A41" s="32" t="s">
        <v>40</v>
      </c>
      <c r="B41" s="51">
        <f t="shared" si="3"/>
        <v>96600</v>
      </c>
      <c r="C41" s="33"/>
      <c r="D41" s="95">
        <f t="shared" si="4"/>
        <v>2100</v>
      </c>
      <c r="E41" s="81">
        <v>700</v>
      </c>
      <c r="F41" s="58">
        <v>46</v>
      </c>
    </row>
    <row r="42" spans="1:8">
      <c r="A42" s="32" t="s">
        <v>41</v>
      </c>
      <c r="B42" s="51">
        <f t="shared" si="3"/>
        <v>13800</v>
      </c>
      <c r="C42" s="33"/>
      <c r="D42" s="95">
        <f t="shared" si="4"/>
        <v>300</v>
      </c>
      <c r="E42" s="81">
        <v>100</v>
      </c>
      <c r="F42" s="58">
        <v>46</v>
      </c>
    </row>
    <row r="43" spans="1:8" ht="30">
      <c r="A43" s="32" t="s">
        <v>42</v>
      </c>
      <c r="B43" s="51">
        <f t="shared" si="3"/>
        <v>14700</v>
      </c>
      <c r="C43" s="33"/>
      <c r="D43" s="95">
        <f t="shared" si="4"/>
        <v>300</v>
      </c>
      <c r="E43" s="81">
        <v>100</v>
      </c>
      <c r="F43" s="58">
        <v>49</v>
      </c>
    </row>
    <row r="44" spans="1:8">
      <c r="A44" s="32" t="s">
        <v>43</v>
      </c>
      <c r="B44" s="51">
        <f t="shared" si="3"/>
        <v>63000</v>
      </c>
      <c r="C44" s="33"/>
      <c r="D44" s="95">
        <f t="shared" si="4"/>
        <v>2100</v>
      </c>
      <c r="E44" s="81">
        <v>700</v>
      </c>
      <c r="F44" s="58">
        <v>30</v>
      </c>
    </row>
    <row r="45" spans="1:8">
      <c r="A45" s="32" t="s">
        <v>44</v>
      </c>
      <c r="B45" s="51">
        <f t="shared" si="3"/>
        <v>9900</v>
      </c>
      <c r="C45" s="33"/>
      <c r="D45" s="95">
        <f t="shared" si="4"/>
        <v>300</v>
      </c>
      <c r="E45" s="81">
        <v>100</v>
      </c>
      <c r="F45" s="58">
        <v>33</v>
      </c>
    </row>
    <row r="46" spans="1:8">
      <c r="A46" s="32" t="s">
        <v>45</v>
      </c>
      <c r="B46" s="51">
        <f t="shared" si="3"/>
        <v>13800</v>
      </c>
      <c r="C46" s="33"/>
      <c r="D46" s="95">
        <f t="shared" si="4"/>
        <v>300</v>
      </c>
      <c r="E46" s="81">
        <v>100</v>
      </c>
      <c r="F46" s="58">
        <v>46</v>
      </c>
    </row>
    <row r="47" spans="1:8" ht="30.75" thickBot="1">
      <c r="A47" s="34" t="s">
        <v>46</v>
      </c>
      <c r="B47" s="52">
        <f>D47*F47</f>
        <v>205800</v>
      </c>
      <c r="C47" s="35"/>
      <c r="D47" s="96">
        <f t="shared" si="4"/>
        <v>2100</v>
      </c>
      <c r="E47" s="82">
        <v>700</v>
      </c>
      <c r="F47" s="59">
        <v>98</v>
      </c>
    </row>
    <row r="48" spans="1:8" ht="15.75" thickBot="1">
      <c r="A48" s="7" t="s">
        <v>5</v>
      </c>
      <c r="B48" s="39"/>
      <c r="C48" s="8"/>
      <c r="D48" s="84"/>
      <c r="E48" s="69"/>
      <c r="F48" s="65"/>
    </row>
    <row r="49" spans="1:6">
      <c r="A49" s="36" t="s">
        <v>52</v>
      </c>
      <c r="B49" s="50">
        <f>D49*F49</f>
        <v>261500</v>
      </c>
      <c r="C49" s="31"/>
      <c r="D49" s="94">
        <v>100</v>
      </c>
      <c r="E49" s="80"/>
      <c r="F49" s="57">
        <v>2615</v>
      </c>
    </row>
    <row r="50" spans="1:6">
      <c r="A50" s="37" t="s">
        <v>53</v>
      </c>
      <c r="B50" s="51">
        <f t="shared" ref="B50:B57" si="5">D50*F50</f>
        <v>14000</v>
      </c>
      <c r="C50" s="33"/>
      <c r="D50" s="95">
        <v>1000</v>
      </c>
      <c r="E50" s="81"/>
      <c r="F50" s="58">
        <v>14</v>
      </c>
    </row>
    <row r="51" spans="1:6">
      <c r="A51" s="37" t="s">
        <v>54</v>
      </c>
      <c r="B51" s="51">
        <f t="shared" si="5"/>
        <v>280000</v>
      </c>
      <c r="C51" s="33"/>
      <c r="D51" s="95">
        <v>10000</v>
      </c>
      <c r="E51" s="81"/>
      <c r="F51" s="58">
        <v>28</v>
      </c>
    </row>
    <row r="52" spans="1:6">
      <c r="A52" s="37" t="s">
        <v>55</v>
      </c>
      <c r="B52" s="51">
        <f t="shared" si="5"/>
        <v>10000</v>
      </c>
      <c r="C52" s="33"/>
      <c r="D52" s="95">
        <v>100000</v>
      </c>
      <c r="E52" s="81"/>
      <c r="F52" s="58">
        <v>0.1</v>
      </c>
    </row>
    <row r="53" spans="1:6">
      <c r="A53" s="37" t="s">
        <v>56</v>
      </c>
      <c r="B53" s="51">
        <f t="shared" si="5"/>
        <v>100000</v>
      </c>
      <c r="C53" s="33"/>
      <c r="D53" s="95">
        <v>200000</v>
      </c>
      <c r="E53" s="81"/>
      <c r="F53" s="58">
        <v>0.5</v>
      </c>
    </row>
    <row r="54" spans="1:6">
      <c r="A54" s="37" t="s">
        <v>57</v>
      </c>
      <c r="B54" s="51">
        <f t="shared" si="5"/>
        <v>465000.00000000006</v>
      </c>
      <c r="C54" s="33"/>
      <c r="D54" s="95">
        <v>100000</v>
      </c>
      <c r="E54" s="81"/>
      <c r="F54" s="58">
        <v>4.6500000000000004</v>
      </c>
    </row>
    <row r="55" spans="1:6">
      <c r="A55" s="37" t="s">
        <v>58</v>
      </c>
      <c r="B55" s="51">
        <f t="shared" si="5"/>
        <v>165000</v>
      </c>
      <c r="C55" s="33"/>
      <c r="D55" s="95">
        <v>300000</v>
      </c>
      <c r="E55" s="81"/>
      <c r="F55" s="58">
        <v>0.55000000000000004</v>
      </c>
    </row>
    <row r="56" spans="1:6">
      <c r="A56" s="37" t="s">
        <v>59</v>
      </c>
      <c r="B56" s="51">
        <f t="shared" si="5"/>
        <v>28999.999999999996</v>
      </c>
      <c r="C56" s="33"/>
      <c r="D56" s="95">
        <v>100000</v>
      </c>
      <c r="E56" s="81"/>
      <c r="F56" s="58">
        <v>0.28999999999999998</v>
      </c>
    </row>
    <row r="57" spans="1:6" ht="15.75" thickBot="1">
      <c r="A57" s="38" t="s">
        <v>67</v>
      </c>
      <c r="B57" s="52">
        <f t="shared" si="5"/>
        <v>1500000</v>
      </c>
      <c r="C57" s="35"/>
      <c r="D57" s="96">
        <v>100000</v>
      </c>
      <c r="E57" s="82"/>
      <c r="F57" s="59">
        <v>15</v>
      </c>
    </row>
    <row r="58" spans="1:6" ht="15.75" thickBot="1">
      <c r="A58" s="7" t="s">
        <v>60</v>
      </c>
      <c r="B58" s="39"/>
      <c r="C58" s="8"/>
      <c r="D58" s="84"/>
      <c r="E58" s="69"/>
      <c r="F58" s="65"/>
    </row>
    <row r="59" spans="1:6" ht="60.75" thickBot="1">
      <c r="A59" s="30" t="s">
        <v>68</v>
      </c>
      <c r="B59" s="50">
        <v>142000</v>
      </c>
      <c r="C59" s="67"/>
      <c r="D59" s="94">
        <v>1</v>
      </c>
      <c r="E59" s="80"/>
      <c r="F59" s="57"/>
    </row>
    <row r="60" spans="1:6" ht="15.75" thickBot="1">
      <c r="A60" s="7" t="s">
        <v>61</v>
      </c>
      <c r="B60" s="39"/>
      <c r="C60" s="8"/>
      <c r="D60" s="84"/>
      <c r="E60" s="69"/>
      <c r="F60" s="65"/>
    </row>
    <row r="61" spans="1:6" ht="23.1" customHeight="1" thickBot="1">
      <c r="A61" s="18" t="s">
        <v>6</v>
      </c>
      <c r="B61" s="40">
        <f>D61*35</f>
        <v>52500000</v>
      </c>
      <c r="C61" s="11"/>
      <c r="D61" s="85">
        <v>1500000</v>
      </c>
      <c r="E61" s="70"/>
      <c r="F61" s="64"/>
    </row>
    <row r="62" spans="1:6" ht="15.75" thickBot="1">
      <c r="A62" s="7" t="s">
        <v>62</v>
      </c>
      <c r="B62" s="39"/>
      <c r="C62" s="8"/>
      <c r="D62" s="84"/>
      <c r="E62" s="69"/>
      <c r="F62" s="65"/>
    </row>
    <row r="63" spans="1:6">
      <c r="A63" s="30" t="s">
        <v>64</v>
      </c>
      <c r="B63" s="50">
        <f>11058780*3.3</f>
        <v>36493974</v>
      </c>
      <c r="C63" s="31"/>
      <c r="D63" s="94">
        <v>1484400</v>
      </c>
      <c r="E63" s="80"/>
      <c r="F63" s="57"/>
    </row>
    <row r="64" spans="1:6" ht="15.75" thickBot="1">
      <c r="A64" s="34" t="s">
        <v>7</v>
      </c>
      <c r="B64" s="52">
        <v>1000000</v>
      </c>
      <c r="C64" s="35"/>
      <c r="D64" s="96"/>
      <c r="E64" s="82"/>
      <c r="F64" s="59"/>
    </row>
    <row r="65" spans="1:6" ht="15.75" thickBot="1">
      <c r="A65" s="7" t="s">
        <v>63</v>
      </c>
      <c r="B65" s="39"/>
      <c r="C65" s="8"/>
      <c r="D65" s="84"/>
      <c r="E65" s="69"/>
      <c r="F65" s="65"/>
    </row>
    <row r="66" spans="1:6" ht="30.75" thickBot="1">
      <c r="A66" s="100" t="s">
        <v>69</v>
      </c>
      <c r="B66" s="45">
        <v>50000</v>
      </c>
      <c r="C66" s="22"/>
      <c r="D66" s="90"/>
      <c r="E66" s="75"/>
      <c r="F66" s="101"/>
    </row>
    <row r="67" spans="1:6" ht="15.75" thickBot="1">
      <c r="A67" s="98" t="s">
        <v>70</v>
      </c>
      <c r="B67" s="99">
        <f>SUM(B3:B66)</f>
        <v>277821685.5</v>
      </c>
      <c r="F67" s="56"/>
    </row>
  </sheetData>
  <printOptions horizontalCentered="1"/>
  <pageMargins left="0" right="0" top="0.25" bottom="0.25" header="0.3" footer="0.3"/>
  <pageSetup fitToHeight="5"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
  <sheetViews>
    <sheetView zoomScale="80" zoomScaleNormal="80" workbookViewId="0">
      <selection activeCell="B4" sqref="B4:D4"/>
    </sheetView>
  </sheetViews>
  <sheetFormatPr defaultRowHeight="15"/>
  <cols>
    <col min="2" max="2" width="96.42578125" customWidth="1"/>
    <col min="3" max="3" width="44.42578125" customWidth="1"/>
    <col min="4" max="4" width="42.85546875" customWidth="1"/>
  </cols>
  <sheetData>
    <row r="1" spans="1:4" ht="70.5" customHeight="1">
      <c r="A1" s="205"/>
      <c r="B1" s="205"/>
      <c r="C1" s="214" t="s">
        <v>334</v>
      </c>
      <c r="D1" s="214" t="s">
        <v>335</v>
      </c>
    </row>
    <row r="2" spans="1:4" ht="177" customHeight="1">
      <c r="A2" s="206">
        <v>1</v>
      </c>
      <c r="B2" s="207" t="s">
        <v>325</v>
      </c>
      <c r="C2" s="212">
        <v>26033999</v>
      </c>
      <c r="D2" s="213">
        <f>C2/3.2</f>
        <v>8135624.6875</v>
      </c>
    </row>
    <row r="3" spans="1:4" ht="177" customHeight="1">
      <c r="A3" s="206">
        <v>2</v>
      </c>
      <c r="B3" s="207" t="s">
        <v>326</v>
      </c>
      <c r="C3" s="212">
        <v>183495000</v>
      </c>
      <c r="D3" s="213">
        <f>C3/3.2</f>
        <v>57342187.5</v>
      </c>
    </row>
    <row r="4" spans="1:4" ht="241.5" customHeight="1">
      <c r="A4" s="206">
        <v>3</v>
      </c>
      <c r="B4" s="207" t="s">
        <v>336</v>
      </c>
      <c r="C4" s="212">
        <v>61000000</v>
      </c>
      <c r="D4" s="213">
        <f>C4/3.2</f>
        <v>19062500</v>
      </c>
    </row>
    <row r="5" spans="1:4" ht="98.25" customHeight="1">
      <c r="A5" s="206">
        <v>4</v>
      </c>
      <c r="B5" s="207" t="s">
        <v>324</v>
      </c>
      <c r="C5" s="212">
        <v>21000000</v>
      </c>
      <c r="D5" s="213">
        <f>C5/3.2</f>
        <v>6562500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4</vt:i4>
      </vt:variant>
    </vt:vector>
  </HeadingPairs>
  <TitlesOfParts>
    <vt:vector size="10" baseType="lpstr">
      <vt:lpstr>brief _ For the MoF </vt:lpstr>
      <vt:lpstr>ანტიკრიზისული გეგმა</vt:lpstr>
      <vt:lpstr>Policy Dep</vt:lpstr>
      <vt:lpstr>Emergency </vt:lpstr>
      <vt:lpstr>NCDC </vt:lpstr>
      <vt:lpstr>სხვა </vt:lpstr>
      <vt:lpstr>'ანტიკრიზისული გეგმა'!_Toc48595108</vt:lpstr>
      <vt:lpstr>'ანტიკრიზისული გეგმა'!_Toc48952336</vt:lpstr>
      <vt:lpstr>'NCDC '!Print_Area</vt:lpstr>
      <vt:lpstr>'NCDC '!Print_Titles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2020-10-27T18:37:29Z</dcterms:modified>
</cp:coreProperties>
</file>